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4.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Planning" sheetId="2" state="visible" r:id="rId4"/>
    <sheet name="Registre" sheetId="3" state="visible" r:id="rId5"/>
    <sheet name="Synthèse" sheetId="4" state="visible" r:id="rId6"/>
    <sheet name="Exemple planning" sheetId="5" state="visible" r:id="rId7"/>
    <sheet name="Exemple registre" sheetId="6" state="visible" r:id="rId8"/>
    <sheet name="Exemple synthèse" sheetId="7" state="visible" r:id="rId9"/>
    <sheet name="Listes" sheetId="8" state="visible" r:id="rId10"/>
  </sheets>
  <definedNames>
    <definedName function="false" hidden="false" localSheetId="4" name="_xlnm.Print_Titles" vbProcedure="false">'Exemple planning'!$10:$10</definedName>
    <definedName function="false" hidden="false" localSheetId="5" name="_xlnm.Print_Titles" vbProcedure="false">'Exemple registre'!$10:$10</definedName>
    <definedName function="false" hidden="false" localSheetId="1" name="_xlnm.Print_Titles" vbProcedure="false">Planning!$10:$10</definedName>
    <definedName function="false" hidden="false" localSheetId="2" name="_xlnm.Print_Titles" vbProcedure="false">Registre!$10:$10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<sst xmlns="http://schemas.openxmlformats.org/spreadsheetml/2006/main" count="603" uniqueCount="295">
  <si>
    <t xml:space="preserve">K-li-T · Modèle Qualiopi V10 · Indicateurs 23, 24 et 25 : planning de veille</t>
  </si>
  <si>
    <t xml:space="preserve">Planning et registre des trois veilles</t>
  </si>
  <si>
    <t xml:space="preserve">Ce classeur vous aide à organiser les trois veilles que l’audit regarde (légale et réglementaire, métiers et emplois, innovations pédagogiques et technologiques) et surtout à garder la preuve de leur exploitation : planning des sources, registre des passages, diffusion à l’équipe, impact sur les prestations. Les dates de passage, les retards, le calendrier et l’état de chaque information se calculent.</t>
  </si>
  <si>
    <t xml:space="preserve">Mode d’emploi</t>
  </si>
  <si>
    <t xml:space="preserve">1.  Lister les sources. Dans « Planning », gardez ou remplacez les dix sources suggérées (sites institutionnels, abonnements, réseaux, événements), puis rattachez chacune à l’une des trois veilles. Choisissez la fréquence de passage et le responsable.</t>
  </si>
  <si>
    <t xml:space="preserve">2.  Régler le calendrier. Indiquez le premier mois affiché, le premier passage prévu de chaque source et, si vous le souhaitez, un délai d’alerte en jours. Les intervalles associés à chaque fréquence se modifient dans l’onglet Listes : ce sont des repères de terrain K-li-T, pas des exigences du référentiel.</t>
  </si>
  <si>
    <t xml:space="preserve">3.  Enregistrer chaque passage. Dans « Registre », notez la date, le n° de la source, ce que vous avez relevé et sa pertinence : sans objet, utile à l’équipe ou à exploiter. Un passage « sans objet » se note aussi : c’est la preuve que vous avez regardé.</t>
  </si>
  <si>
    <t xml:space="preserve">4.  Exploiter. Pour chaque information utile, notez l’enseignement tiré, la date et le moyen de diffusion à l’équipe, l’impact sur vos prestations et, si besoin, l’action décidée avec un responsable, une échéance et la preuve. Le statut avance de « à diffuser » à « exploité ».</t>
  </si>
  <si>
    <t xml:space="preserve">5.  Suivre. Dans « Planning », l’état de chaque source (à jour, passage proche, en retard) et le calendrier se mettent à jour ; dans « Synthèse », lisez les trois veilles, le nombre de passages par mois et les contrôles à zéro.</t>
  </si>
  <si>
    <t xml:space="preserve">6.  Rappeler le dépôt des comptes. Dans la section 4 de « Synthèse », saisissez les dates de vos exercices et le récépissé de dépôt : le document de travail mentionne cette vérification pour l’indicateur 23.</t>
  </si>
  <si>
    <t xml:space="preserve">Ce que dit le document de travail (indicateurs 23, 24 et 25)</t>
  </si>
  <si>
    <t xml:space="preserve">Trois veilles distinctes sont attendues : légale et réglementaire (23), compétences, métiers et emplois (24), innovations pédagogiques et technologiques (25). Les trois s’appliquent à toutes les catégories d’actions (formation, bilan de compétences, VAE, apprentissage).</t>
  </si>
  <si>
    <t xml:space="preserve">Dans chaque cas, l’auditeur cherche la veille et son exploitation : d’après le document de travail, une non-conformité mineure vient de l’absence d’exploitation de la veille mise en place. Les trois indicateurs sont pondérables (mineure ou majeure).</t>
  </si>
  <si>
    <t xml:space="preserve">Pour l’indicateur 23, le document mentionne aussi la vérification du dépôt formel des comptes (articles L. 232-21 et suivants du code de commerce), dont le non-respect entraîne une non-conformité majeure. Cette mention est à confirmer à la parution du guide final.</t>
  </si>
  <si>
    <t xml:space="preserve">Pour un nouvel entrant, les veilles 24 et 25 se démontrent à l’audit initial et leur impact éventuel est audité à l’audit de surveillance.</t>
  </si>
  <si>
    <t xml:space="preserve">Le référentiel n’impose ni fréquence de passage ni délai d’alerte : ces valeurs sont les vôtres.</t>
  </si>
  <si>
    <t xml:space="preserve">Code couleur</t>
  </si>
  <si>
    <t xml:space="preserve">Cellule blanche : à remplir.</t>
  </si>
  <si>
    <t xml:space="preserve">Cellule verte : calculée automatiquement, ne pas modifier.</t>
  </si>
  <si>
    <t xml:space="preserve">Cellule crème : libellé ou rappel du référentiel.</t>
  </si>
  <si>
    <t xml:space="preserve">Contenu du fichier</t>
  </si>
  <si>
    <t xml:space="preserve">•  Planning : une ligne par source (dix suggestions préremplies, 25 lignes), fréquence, responsable, dernier et prochain passage, état et calendrier de douze mois calculés.</t>
  </si>
  <si>
    <t xml:space="preserve">•  Registre : 40 lignes, une par passage ; la veille et la source s’affichent d’après le n° choisi, le délai de diffusion et le statut se calculent.</t>
  </si>
  <si>
    <t xml:space="preserve">•  Synthèse : les trois veilles en un coup d’œil, passages par mois avec graphique, onze contrôles, rappel du dépôt des comptes et rappel de ce que cherche l’auditeur.</t>
  </si>
  <si>
    <t xml:space="preserve">•  Exemple planning, exemple registre et exemple synthèse : douze sources et vingt-deux passages d’un organisme de formation fictif de six personnes, au 22/10/2026. Les informations relevées sont inventées.</t>
  </si>
  <si>
    <t xml:space="preserve">•  Listes : veilles, types de source, fréquences et intervalles, pertinence, moyens de diffusion, impacts, modifiables.</t>
  </si>
  <si>
    <t xml:space="preserve">Pour aller plus loin</t>
  </si>
  <si>
    <t xml:space="preserve">L’article qui accompagne ce modèle : k-li-t.com/qualiopi-indicateurs-23-24-25-veilles/</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</si>
  <si>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</si>
  <si>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Planning des trois veilles</t>
  </si>
  <si>
    <t xml:space="preserve">Une ligne par source de veille : qui la consulte, à quelle fréquence, et quand est le prochain passage. Les passages se saisissent dans l’onglet Registre, avec le n° de la source.</t>
  </si>
  <si>
    <t xml:space="preserve">Date du jour</t>
  </si>
  <si>
    <t xml:space="preserve">Sources suivies</t>
  </si>
  <si>
    <t xml:space="preserve">Un passage est une consultation d’une source, notée au registre avec le n° de la source. Le dernier passage, le prochain passage, l’état et le calendrier se calculent. Les fréquences, leurs intervalles en jours et le délai d’alerte sont des repères de terrain K-li-T : le référentiel n’impose aucune fréquence. Dans le calendrier, un nombre indique les passages enregistrés dans le mois, « prévu » le mois du prochain passage.</t>
  </si>
  <si>
    <t xml:space="preserve">Premier mois affiché du calendrier (premier jour du mois)</t>
  </si>
  <si>
    <t xml:space="preserve">Sources en retard</t>
  </si>
  <si>
    <t xml:space="preserve">Délai d’alerte avant un passage, en jours (votre choix)</t>
  </si>
  <si>
    <t xml:space="preserve">Passages proches (dans le délai d’alerte)</t>
  </si>
  <si>
    <t xml:space="preserve">Sources jamais consultées</t>
  </si>
  <si>
    <t xml:space="preserve">Passages enregistrés au registre</t>
  </si>
  <si>
    <t xml:space="preserve">1. La source</t>
  </si>
  <si>
    <t xml:space="preserve">2. Fréquence et responsable</t>
  </si>
  <si>
    <t xml:space="preserve">3. Suivi (calculé)</t>
  </si>
  <si>
    <t xml:space="preserve">4. Calendrier des passages (nombre enregistré ; « prévu » : mois du prochain passage)</t>
  </si>
  <si>
    <t xml:space="preserve">N°</t>
  </si>
  <si>
    <t xml:space="preserve">Veille</t>
  </si>
  <si>
    <t xml:space="preserve">Source (abonnement, site, réseau, événement)</t>
  </si>
  <si>
    <t xml:space="preserve">Type de source</t>
  </si>
  <si>
    <t xml:space="preserve">Thème ou périmètre suivi</t>
  </si>
  <si>
    <t xml:space="preserve">Fréquence de passage</t>
  </si>
  <si>
    <t xml:space="preserve">Intervalle (jours)</t>
  </si>
  <si>
    <t xml:space="preserve">Responsable</t>
  </si>
  <si>
    <t xml:space="preserve">Premier passage prévu le</t>
  </si>
  <si>
    <t xml:space="preserve">Dernier passage</t>
  </si>
  <si>
    <t xml:space="preserve">Prochain passage</t>
  </si>
  <si>
    <t xml:space="preserve">État</t>
  </si>
  <si>
    <t xml:space="preserve">Légale et réglementaire (indicateur 23)</t>
  </si>
  <si>
    <t xml:space="preserve">Journal officiel et textes du code du travail (consultation de Légifrance)</t>
  </si>
  <si>
    <t xml:space="preserve">Texte officiel (Journal officiel, Légifrance)</t>
  </si>
  <si>
    <t xml:space="preserve">Textes sur la formation professionnelle, l’apprentissage, la VAE et les bilans de compétences</t>
  </si>
  <si>
    <t xml:space="preserve">Pages formation professionnelle du site du ministère du Travail</t>
  </si>
  <si>
    <t xml:space="preserve">Site institutionnel</t>
  </si>
  <si>
    <t xml:space="preserve">Actualités et questions-réponses sur la formation professionnelle</t>
  </si>
  <si>
    <t xml:space="preserve">Portail d’information des organismes de formation de la Caisse des dépôts</t>
  </si>
  <si>
    <t xml:space="preserve">Obligations et démarches des organismes de formation</t>
  </si>
  <si>
    <t xml:space="preserve">Lettre d’information de votre financeur ou de votre OPCO</t>
  </si>
  <si>
    <t xml:space="preserve">Financeur, OPCO ou certificateur</t>
  </si>
  <si>
    <t xml:space="preserve">Règles de financement et calendriers</t>
  </si>
  <si>
    <t xml:space="preserve">Métiers, compétences et emplois (indicateur 24)</t>
  </si>
  <si>
    <t xml:space="preserve">Réseau professionnel : syndicat, fédération, forums (adhésion)</t>
  </si>
  <si>
    <t xml:space="preserve">Réseau, syndicat ou fédération</t>
  </si>
  <si>
    <t xml:space="preserve">Évolution des métiers et des emplois de vos secteurs d’intervention</t>
  </si>
  <si>
    <t xml:space="preserve">Revue professionnelle (abonnement)</t>
  </si>
  <si>
    <t xml:space="preserve">Abonnement (revue, base documentaire)</t>
  </si>
  <si>
    <t xml:space="preserve">Compétences et métiers de vos secteurs d’intervention</t>
  </si>
  <si>
    <t xml:space="preserve">Échanges avec des entreprises clientes ou des stagiaires</t>
  </si>
  <si>
    <t xml:space="preserve">Échange avec des entreprises ou des stagiaires</t>
  </si>
  <si>
    <t xml:space="preserve">Évolution des besoins en compétences</t>
  </si>
  <si>
    <t xml:space="preserve">Innovations pédagogiques et technologiques (indicateur 25)</t>
  </si>
  <si>
    <t xml:space="preserve">Salon, conférence ou colloque</t>
  </si>
  <si>
    <t xml:space="preserve">Innovations pédagogiques et technologiques</t>
  </si>
  <si>
    <t xml:space="preserve">Groupe de réflexion ou d’analyse de pratiques</t>
  </si>
  <si>
    <t xml:space="preserve">Retours d’expérience sur les méthodes et les outils</t>
  </si>
  <si>
    <t xml:space="preserve">Lettres et webinaires des éditeurs d’outils pédagogiques</t>
  </si>
  <si>
    <t xml:space="preserve">Lettre d’information ou alerte e-mail</t>
  </si>
  <si>
    <t xml:space="preserve">Nouvelles fonctions et usages des outils</t>
  </si>
  <si>
    <t xml:space="preserve">K-li-T · Modèle Qualiopi V10 · Indicateurs 23, 24 et 25 : registre des passages de veille</t>
  </si>
  <si>
    <t xml:space="preserve">Registre des passages de veille</t>
  </si>
  <si>
    <t xml:space="preserve">Une ligne par passage : choisissez le n° de la source (la veille et la source s’affichent), notez ce que vous avez relevé, ce que vous en retenez, la diffusion à l’équipe et l’impact sur vos prestations.</t>
  </si>
  <si>
    <t xml:space="preserve">Passages enregistrés</t>
  </si>
  <si>
    <t xml:space="preserve">Le statut se calcule : « à diffuser » tant que l’équipe n’est pas informée, « enseignement à rédiger » tant que vous n’avez pas noté ce que vous en retenez, « impact à évaluer » pour une information à exploiter, puis « action à définir », « action en cours » ou « action en retard », enfin « exploité ». C’est cette chaîne complète qui montre l’exploitation de la veille : l’auditeur cherche l’exploitation, pas seulement la consultation.</t>
  </si>
  <si>
    <t xml:space="preserve">Choisissez le n° de la source dans la liste.</t>
  </si>
  <si>
    <t xml:space="preserve">Passages à finir d’exploiter</t>
  </si>
  <si>
    <t xml:space="preserve">Pertinence : sans objet, utile à l’équipe, ou à exploiter.</t>
  </si>
  <si>
    <t xml:space="preserve">Passages à diffuser à l’équipe</t>
  </si>
  <si>
    <t xml:space="preserve">Une information « sans objet » se note aussi : c’est la preuve du passage.</t>
  </si>
  <si>
    <t xml:space="preserve">Actions en retard</t>
  </si>
  <si>
    <t xml:space="preserve">Délai moyen de diffusion (jours)</t>
  </si>
  <si>
    <t xml:space="preserve">1. Le passage</t>
  </si>
  <si>
    <t xml:space="preserve">2. Ce qui est relevé et retenu</t>
  </si>
  <si>
    <t xml:space="preserve">3. Diffusion à l’équipe</t>
  </si>
  <si>
    <t xml:space="preserve">4. Impact sur les prestations et suites données</t>
  </si>
  <si>
    <t xml:space="preserve">5. État</t>
  </si>
  <si>
    <t xml:space="preserve">Date du passage</t>
  </si>
  <si>
    <t xml:space="preserve">N° de la source</t>
  </si>
  <si>
    <t xml:space="preserve">Source</t>
  </si>
  <si>
    <t xml:space="preserve">Passage réalisé par</t>
  </si>
  <si>
    <t xml:space="preserve">Information relevée</t>
  </si>
  <si>
    <t xml:space="preserve">Pertinence pour l’organisme</t>
  </si>
  <si>
    <t xml:space="preserve">Enseignement tiré</t>
  </si>
  <si>
    <t xml:space="preserve">Diffusée à l’équipe le</t>
  </si>
  <si>
    <t xml:space="preserve">Moyen de diffusion</t>
  </si>
  <si>
    <t xml:space="preserve">Délai de diffusion (jours)</t>
  </si>
  <si>
    <t xml:space="preserve">Impact sur les prestations</t>
  </si>
  <si>
    <t xml:space="preserve">Action décidée</t>
  </si>
  <si>
    <t xml:space="preserve">Responsable de l’action</t>
  </si>
  <si>
    <t xml:space="preserve">Échéance de l’action</t>
  </si>
  <si>
    <t xml:space="preserve">Réalisée le</t>
  </si>
  <si>
    <t xml:space="preserve">Preuve (nom, emplacement)</t>
  </si>
  <si>
    <t xml:space="preserve">Statut</t>
  </si>
  <si>
    <t xml:space="preserve">K-li-T · Modèle Qualiopi V10 · Indicateurs 23, 24 et 25 : synthèse des veilles</t>
  </si>
  <si>
    <t xml:space="preserve">Synthèse des trois veilles</t>
  </si>
  <si>
    <t xml:space="preserve">Tout se calcule à partir du planning et du registre. Seul le rappel du dépôt des comptes (section 4) se saisit ici.</t>
  </si>
  <si>
    <t xml:space="preserve">Date du jour (reprise du planning)</t>
  </si>
  <si>
    <t xml:space="preserve">1. Les trois veilles en un coup d’œil</t>
  </si>
  <si>
    <t xml:space="preserve">dont sans objet</t>
  </si>
  <si>
    <t xml:space="preserve">Diffusés à l’équipe</t>
  </si>
  <si>
    <t xml:space="preserve">Exploités</t>
  </si>
  <si>
    <t xml:space="preserve">À finir d’exploiter</t>
  </si>
  <si>
    <t xml:space="preserve">Taux d’exploitation</t>
  </si>
  <si>
    <t xml:space="preserve">Lecture</t>
  </si>
  <si>
    <t xml:space="preserve">Total des trois veilles</t>
  </si>
  <si>
    <t xml:space="preserve">Taux d’exploitation : passages exploités divisés par les passages qui ne sont pas « sans objet ». Il n’existe pas de taux cible dans le référentiel : fixez le vôtre.</t>
  </si>
  <si>
    <t xml:space="preserve">2. Passages par mois et par veille (douze mois à partir du début du calendrier)</t>
  </si>
  <si>
    <t xml:space="preserve">Mois</t>
  </si>
  <si>
    <t xml:space="preserve">Veille légale (23)</t>
  </si>
  <si>
    <t xml:space="preserve">Veille métiers (24)</t>
  </si>
  <si>
    <t xml:space="preserve">Veille innovations (25)</t>
  </si>
  <si>
    <t xml:space="preserve">Total</t>
  </si>
  <si>
    <t xml:space="preserve">3. Contrôles : chaque ligne devrait afficher zéro</t>
  </si>
  <si>
    <t xml:space="preserve">Point de contrôle</t>
  </si>
  <si>
    <t xml:space="preserve">Nombre</t>
  </si>
  <si>
    <t xml:space="preserve">Que faire</t>
  </si>
  <si>
    <t xml:space="preserve">Sources sans responsable</t>
  </si>
  <si>
    <t xml:space="preserve">Désignez la personne qui passe en revue la source.</t>
  </si>
  <si>
    <t xml:space="preserve">Sources sans fréquence</t>
  </si>
  <si>
    <t xml:space="preserve">Choisissez une fréquence, ou « Au fil de l’eau » pour une alerte.</t>
  </si>
  <si>
    <t xml:space="preserve">Faites un premier passage et saisissez-le au registre.</t>
  </si>
  <si>
    <t xml:space="preserve">Planifiez le passage, ou retirez la source si elle n’est plus suivie.</t>
  </si>
  <si>
    <t xml:space="preserve">Passages sans source identifiée</t>
  </si>
  <si>
    <t xml:space="preserve">Corrigez le n° de la source dans le registre.</t>
  </si>
  <si>
    <t xml:space="preserve">Passages dont la pertinence n’est pas évaluée</t>
  </si>
  <si>
    <t xml:space="preserve">Décidez : sans objet, utile à l’équipe ou à exploiter.</t>
  </si>
  <si>
    <t xml:space="preserve">Diffusez et notez la date et le moyen : c’est la preuve attendue.</t>
  </si>
  <si>
    <t xml:space="preserve">Passages sans enseignement tiré</t>
  </si>
  <si>
    <t xml:space="preserve">Écrivez en une phrase ce que vous en retenez.</t>
  </si>
  <si>
    <t xml:space="preserve">Informations à exploiter sans impact évalué</t>
  </si>
  <si>
    <t xml:space="preserve">Indiquez l’impact sur vos prestations, même « Aucun ».</t>
  </si>
  <si>
    <t xml:space="preserve">Actions à définir</t>
  </si>
  <si>
    <t xml:space="preserve">Décidez d’une action, d’un responsable et d’une échéance.</t>
  </si>
  <si>
    <t xml:space="preserve">Réalisez l’action ou revoyez son échéance.</t>
  </si>
  <si>
    <t xml:space="preserve">4. Rappel : dépôt des comptes (indicateur 23)</t>
  </si>
  <si>
    <t xml:space="preserve">Exercice clos le</t>
  </si>
  <si>
    <t xml:space="preserve">Comptes approuvés le</t>
  </si>
  <si>
    <t xml:space="preserve">Date limite de dépôt (à vérifier)</t>
  </si>
  <si>
    <t xml:space="preserve">Déposé le</t>
  </si>
  <si>
    <t xml:space="preserve">Preuve (récépissé, référence)</t>
  </si>
  <si>
    <t xml:space="preserve">Commentaire</t>
  </si>
  <si>
    <t xml:space="preserve">Le document de travail mentionne, pour l’indicateur 23, la vérification du dépôt formel des comptes (articles L. 232-21 et suivants du code de commerce) ; cette mention est à confirmer à la parution du guide final. Selon votre forme juridique, l’obligation peut s’appliquer différemment : faites-la confirmer par votre expert-comptable ou votre greffe. Les dates limites sont à saisir par vous : le modèle n’en code aucune.</t>
  </si>
  <si>
    <t xml:space="preserve">5. Ce que l’auditeur cherche (rappel d’après le document de travail, reformulé)</t>
  </si>
  <si>
    <t xml:space="preserve">Indicateur</t>
  </si>
  <si>
    <t xml:space="preserve">Niveau attendu</t>
  </si>
  <si>
    <t xml:space="preserve">Pondération et non-conformité</t>
  </si>
  <si>
    <t xml:space="preserve">Nouvel entrant</t>
  </si>
  <si>
    <t xml:space="preserve">Indicateur 23 : veille légale et réglementaire</t>
  </si>
  <si>
    <t xml:space="preserve">Une veille sur le champ de la formation professionnelle (sites institutionnels, documentation sur le handicap), sa prise en compte par l’organisme et sa communication en interne. Le document de travail ajoute la vérification du dépôt formel des comptes.</t>
  </si>
  <si>
    <t xml:space="preserve">Pondérable : mineure si la veille existe mais n’est pas exploitée, majeure si l’attendu n’est pas du tout respecté ; majeure aussi pour le non-respect de l’obligation spécifique.</t>
  </si>
  <si>
    <t xml:space="preserve">Aucun report indiqué dans le document de travail.</t>
  </si>
  <si>
    <t xml:space="preserve">Indicateur 24 : veille sur les compétences, métiers et emplois</t>
  </si>
  <si>
    <t xml:space="preserve">Une veille sur les thèmes de l’indicateur dans vos secteurs d’intervention et son impact éventuel sur les prestations : adhésions, revues, conférences, diffusion à l’équipe, évolutions apportées aux contenus.</t>
  </si>
  <si>
    <t xml:space="preserve">Pondérable : mineure en cas d’absence d’exploitation de la veille mise en place, majeure si l’attendu n’est pas du tout respecté.</t>
  </si>
  <si>
    <t xml:space="preserve">Mise en place de la veille à démontrer ; l’impact est audité à l’audit de surveillance.</t>
  </si>
  <si>
    <t xml:space="preserve">Indicateur 25 : veille sur les innovations pédagogiques et technologiques</t>
  </si>
  <si>
    <t xml:space="preserve">Une veille sur les innovations utiles à l’évolution de vos prestations et son impact éventuel : diffusion à l’équipe, évolutions des modalités ou des outils, analyse d’opportunité et de faisabilité.</t>
  </si>
  <si>
    <t xml:space="preserve">Les trois indicateurs s’appliquent à toutes les catégories d’actions (formation, bilan de compétences, VAE, apprentissage). Aucune fréquence de veille n’est imposée.</t>
  </si>
  <si>
    <t xml:space="preserve">Planning des trois veilles (exemple fictif)</t>
  </si>
  <si>
    <t xml:space="preserve">Douze sources d’un organisme de formation fictif de six personnes (management et bureautique, présentiel et distance), au 22/10/2026. Les sources sont génériques ; le délai d’alerte est fictif.</t>
  </si>
  <si>
    <t xml:space="preserve">Délai d’alerte avant un passage, en jours (votre choix) : valeur fictive</t>
  </si>
  <si>
    <t xml:space="preserve">Lois, décrets et arrêtés sur la formation professionnelle, l’apprentissage, la VAE et les bilans de compétences</t>
  </si>
  <si>
    <t xml:space="preserve">Mensuelle</t>
  </si>
  <si>
    <t xml:space="preserve">Dirigeante</t>
  </si>
  <si>
    <t xml:space="preserve">Responsable pédagogique</t>
  </si>
  <si>
    <t xml:space="preserve">Trimestrielle</t>
  </si>
  <si>
    <t xml:space="preserve">Assistante de formation</t>
  </si>
  <si>
    <t xml:space="preserve">Lettre d’information de notre OPCO principal</t>
  </si>
  <si>
    <t xml:space="preserve">Règles de financement, enveloppes et calendriers de dépôt</t>
  </si>
  <si>
    <t xml:space="preserve">Au fil de l’eau</t>
  </si>
  <si>
    <t xml:space="preserve">Actualités du réseau de partenaires handicap du territoire</t>
  </si>
  <si>
    <t xml:space="preserve">Réglementation et bonnes pratiques d’accueil et d’aménagement</t>
  </si>
  <si>
    <t xml:space="preserve">Référent handicap</t>
  </si>
  <si>
    <t xml:space="preserve">Fédération professionnelle de la formation (adhésion, réunions trimestrielles)</t>
  </si>
  <si>
    <t xml:space="preserve">Évolution des métiers, retours d’organismes, pratiques d’audit</t>
  </si>
  <si>
    <t xml:space="preserve">Revue professionnelle de la formation et du management (abonnement)</t>
  </si>
  <si>
    <t xml:space="preserve">Compétences attendues des managers et des assistants</t>
  </si>
  <si>
    <t xml:space="preserve">Fiches et référentiels des certifications que nous préparons</t>
  </si>
  <si>
    <t xml:space="preserve">Évolution des référentiels de certification et des métiers visés</t>
  </si>
  <si>
    <t xml:space="preserve">Semestrielle</t>
  </si>
  <si>
    <t xml:space="preserve">Entretiens avec trois entreprises clientes</t>
  </si>
  <si>
    <t xml:space="preserve">Évolution des besoins en compétences de nos clients</t>
  </si>
  <si>
    <t xml:space="preserve">Annuelle</t>
  </si>
  <si>
    <t xml:space="preserve">Salon professionnel de la formation (visite annuelle)</t>
  </si>
  <si>
    <t xml:space="preserve">Outils et méthodes pédagogiques nouveaux</t>
  </si>
  <si>
    <t xml:space="preserve">Groupe d’analyse de pratiques entre formateurs</t>
  </si>
  <si>
    <t xml:space="preserve">Retours d’expérience sur les parcours, l’évaluation et la formation à distance</t>
  </si>
  <si>
    <t xml:space="preserve">Webinaires et lettres des éditeurs de plateformes et d’outils de classe virtuelle</t>
  </si>
  <si>
    <t xml:space="preserve">Nouvelles fonctions utiles au suivi et à l’animation</t>
  </si>
  <si>
    <t xml:space="preserve">Registre des passages de veille (exemple fictif)</t>
  </si>
  <si>
    <t xml:space="preserve">Vingt-deux passages fictifs : de la simple consultation « sans objet » à l’information exploitée avec une action, une échéance et une preuve.</t>
  </si>
  <si>
    <t xml:space="preserve">Visite du salon : trois ateliers sur la classe virtuelle et l’animation à distance</t>
  </si>
  <si>
    <t xml:space="preserve">À exploiter dans nos prestations</t>
  </si>
  <si>
    <t xml:space="preserve">Des outils de classe virtuelle à salles de sous-groupes sont à tester</t>
  </si>
  <si>
    <t xml:space="preserve">Réunion d’équipe</t>
  </si>
  <si>
    <t xml:space="preserve">Modalités ou outils pédagogiques</t>
  </si>
  <si>
    <t xml:space="preserve">Tester deux outils de classe virtuelle sur la session de juin</t>
  </si>
  <si>
    <t xml:space="preserve">Compte rendu de test du 26/06/2026</t>
  </si>
  <si>
    <t xml:space="preserve">Contrôle des fiches des certifications préparées : aucune évolution</t>
  </si>
  <si>
    <t xml:space="preserve">Sans objet pour nous</t>
  </si>
  <si>
    <t xml:space="preserve">Rien à changer ; consultation notée pour la preuve</t>
  </si>
  <si>
    <t xml:space="preserve">Aucun texte nouveau sur notre périmètre ce mois-ci</t>
  </si>
  <si>
    <t xml:space="preserve">Rien à changer</t>
  </si>
  <si>
    <t xml:space="preserve">Dossier : évolution des compétences attendues des managers de proximité</t>
  </si>
  <si>
    <t xml:space="preserve">Notre formation managers n’aborde pas le management à distance</t>
  </si>
  <si>
    <t xml:space="preserve">Contenu des formations</t>
  </si>
  <si>
    <t xml:space="preserve">Ajouter un module de 3 h sur le management à distance au programme managers</t>
  </si>
  <si>
    <t xml:space="preserve">Programme version 5 avec le nouveau module (18/09/2026)</t>
  </si>
  <si>
    <t xml:space="preserve">Échange sur l’évaluation à froid : les taux de réponse sont faibles partout</t>
  </si>
  <si>
    <t xml:space="preserve">Utile à l’équipe</t>
  </si>
  <si>
    <t xml:space="preserve">Piste à retenir : relance téléphonique à trois mois</t>
  </si>
  <si>
    <t xml:space="preserve">Webinaire : nouvelle fonction de suivi des connexions des stagiaires</t>
  </si>
  <si>
    <t xml:space="preserve">Le tableau de suivi d’effectivité pourrait s’alimenter par export</t>
  </si>
  <si>
    <t xml:space="preserve">E-mail à l’équipe</t>
  </si>
  <si>
    <t xml:space="preserve">Organisation ou documents</t>
  </si>
  <si>
    <t xml:space="preserve">Tester l’export des connexions et l’intégrer au tableau de suivi</t>
  </si>
  <si>
    <t xml:space="preserve">Rubrique sur les obligations des organismes de formation relue</t>
  </si>
  <si>
    <t xml:space="preserve">Pas d’écart constaté avec nos pratiques</t>
  </si>
  <si>
    <t xml:space="preserve">Page sur la VAE mise à jour : aucune de nos prestations n’est concernée</t>
  </si>
  <si>
    <t xml:space="preserve">Aucun texte nouveau sur notre périmètre</t>
  </si>
  <si>
    <t xml:space="preserve">Numéro d’été : rien de nouveau pour nos domaines</t>
  </si>
  <si>
    <t xml:space="preserve">Lettre de l’OPCO : ouverture d’une enveloppe de financement pour les formations au numérique</t>
  </si>
  <si>
    <t xml:space="preserve">Opportunité pour la formation bureautique, à signaler à nos clients</t>
  </si>
  <si>
    <t xml:space="preserve">Information du public</t>
  </si>
  <si>
    <t xml:space="preserve">Ajouter cette possibilité de financement à la page du site et au devis</t>
  </si>
  <si>
    <t xml:space="preserve">Capture de la page du site du 25/08/2026</t>
  </si>
  <si>
    <t xml:space="preserve">Pas de changement sur les pages suivies</t>
  </si>
  <si>
    <t xml:space="preserve">Webinaire du réseau : nouvelle fiche pratique sur l’aménagement des évaluations</t>
  </si>
  <si>
    <t xml:space="preserve">Notre fiche d’aménagement ne prévoit pas les évaluations en ligne</t>
  </si>
  <si>
    <t xml:space="preserve">Ajouter une rubrique « évaluations » à la fiche d’aménagement</t>
  </si>
  <si>
    <t xml:space="preserve">Texte fictif modifiant une obligation d’information du stagiaire avant l’inscription</t>
  </si>
  <si>
    <t xml:space="preserve">Nos fiches programme et nos conditions générales sont à compléter</t>
  </si>
  <si>
    <t xml:space="preserve">Mettre à jour la trame de fiche programme et les conditions générales</t>
  </si>
  <si>
    <t xml:space="preserve">Trame version 4 du 28/09/2026 ; compte rendu du 09/09/2026</t>
  </si>
  <si>
    <t xml:space="preserve">Enquête sur les métiers de l’assistanat de direction</t>
  </si>
  <si>
    <t xml:space="preserve">Confirme le besoin en bureautique avancée chez nos clients</t>
  </si>
  <si>
    <t xml:space="preserve">Réunion trimestrielle : retours d’organismes sur leurs audits</t>
  </si>
  <si>
    <t xml:space="preserve">La veille doit montrer l’exploitation, pas seulement la consultation</t>
  </si>
  <si>
    <t xml:space="preserve">Lettre de l’OPCO : rappel du calendrier de dépôt des demandes</t>
  </si>
  <si>
    <t xml:space="preserve">Calendrier reporté dans le planning commercial</t>
  </si>
  <si>
    <t xml:space="preserve">Nouvelle page de questions-réponses sur le financement de la formation</t>
  </si>
  <si>
    <t xml:space="preserve">Utile pour répondre aux questions des stagiaires</t>
  </si>
  <si>
    <t xml:space="preserve">Espace partagé</t>
  </si>
  <si>
    <t xml:space="preserve">Numéro sans lien avec nos domaines</t>
  </si>
  <si>
    <t xml:space="preserve">Pas de texte nouveau ; un projet de texte est annoncé</t>
  </si>
  <si>
    <t xml:space="preserve">Surveiller la parution au prochain passage</t>
  </si>
  <si>
    <t xml:space="preserve">Retour d’expérience sur les parcours hybrides (présentiel et distance)</t>
  </si>
  <si>
    <t xml:space="preserve">À essayer sur la formation bureautique du premier trimestre</t>
  </si>
  <si>
    <t xml:space="preserve">Concevoir un parcours hybride pilote pour la bureautique</t>
  </si>
  <si>
    <t xml:space="preserve">Lettre de l’éditeur : maintenance annoncée et nouveautés d’interface</t>
  </si>
  <si>
    <t xml:space="preserve">Prévenir les stagiaires avant la maintenance annoncée</t>
  </si>
  <si>
    <t xml:space="preserve">Synthèse des trois veilles (exemple fictif)</t>
  </si>
  <si>
    <t xml:space="preserve">Calculée à partir de l’exemple : deux sources en retard, trois passages à finir d’exploiter dont une action en retard, une veille entièrement exploitée.</t>
  </si>
  <si>
    <t xml:space="preserve">Récépissé de dépôt reçu le 20/07/2026 (fictif)</t>
  </si>
  <si>
    <t xml:space="preserve">Dépôt effectué par l’expert-comptable</t>
  </si>
  <si>
    <t xml:space="preserve">Récépissé de dépôt (fictif)</t>
  </si>
  <si>
    <t xml:space="preserve">Exercice en cours : renseigner les dates après la clôture</t>
  </si>
  <si>
    <t xml:space="preserve">Le document de travail mentionne, pour l’indicateur 23, la vérification du dépôt formel des comptes (articles L. 232-21 et suivants du code de commerce) ; cette mention est à confirmer à la parution du guide final. Selon votre forme juridique, l’obligation peut s’appliquer différemment : faites-la confirmer par votre expert-comptable ou votre greffe. Les dates limites sont à saisir par vous : le modèle n’en code aucune. Dates et récépissés de l’exemple : fictifs.</t>
  </si>
  <si>
    <t xml:space="preserve">K-li-T · Modèle Qualiopi V10 · Listes déroulantes (modifiables)</t>
  </si>
  <si>
    <t xml:space="preserve">Ces listes alimentent les menus déroulants et certaines formules des autres onglets. Vous pouvez en modifier le contenu (ne supprimez pas de lignes). Les intervalles en jours (colonne D) correspondent ligne à ligne aux fréquences (colonne C) : ce sont des valeurs approchées, à adapter.</t>
  </si>
  <si>
    <t xml:space="preserve">Fréquence</t>
  </si>
  <si>
    <t xml:space="preserve">Pertinence</t>
  </si>
  <si>
    <t xml:space="preserve">Hebdomadaire</t>
  </si>
  <si>
    <t xml:space="preserve">Aucun</t>
  </si>
  <si>
    <t xml:space="preserve">Toutes les deux semaines</t>
  </si>
  <si>
    <t xml:space="preserve">Note ou compte rendu interne</t>
  </si>
  <si>
    <t xml:space="preserve">Formation interne</t>
  </si>
  <si>
    <t xml:space="preserve">Autre</t>
  </si>
</sst>
</file>

<file path=xl/styles.xml><?xml version="1.0" encoding="utf-8"?>
<styleSheet xmlns="http://schemas.openxmlformats.org/spreadsheetml/2006/main">
  <numFmts count="8">
    <numFmt numFmtId="164" formatCode="General"/>
    <numFmt numFmtId="165" formatCode="dd/mm/yyyy"/>
    <numFmt numFmtId="166" formatCode="General"/>
    <numFmt numFmtId="167" formatCode="0"/>
    <numFmt numFmtId="168" formatCode="mmm\ yy"/>
    <numFmt numFmtId="169" formatCode="0.0"/>
    <numFmt numFmtId="170" formatCode="0%"/>
    <numFmt numFmtId="171" formatCode="0;\-0;;@"/>
  </numFmts>
  <fonts count="14">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
      <b val="true"/>
      <sz val="18"/>
      <color rgb="FF000000"/>
      <name val="Calibri"/>
      <family val="2"/>
    </font>
    <font>
      <sz val="10"/>
      <color rgb="FF000000"/>
      <name val="Calibri"/>
      <family val="2"/>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3" borderId="2" xfId="0" applyFont="true" applyBorder="true" applyAlignment="true" applyProtection="false">
      <alignment horizontal="center" vertical="top" textRotation="0" wrapText="tru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4" fontId="8" fillId="5" borderId="0" xfId="0" applyFont="true" applyBorder="true" applyAlignment="true" applyProtection="false">
      <alignment horizontal="general" vertical="top" textRotation="0" wrapText="true" indent="0" shrinkToFit="false"/>
      <protection locked="true" hidden="false"/>
    </xf>
    <xf numFmtId="167" fontId="10" fillId="3"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8"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7" fontId="6" fillId="4" borderId="2" xfId="0" applyFont="true" applyBorder="true" applyAlignment="true" applyProtection="false">
      <alignment horizontal="center"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9" fontId="10" fillId="4" borderId="2" xfId="0" applyFont="true" applyBorder="true" applyAlignment="true" applyProtection="false">
      <alignment horizontal="center" vertical="top" textRotation="0" wrapText="true" indent="0" shrinkToFit="false"/>
      <protection locked="true" hidden="false"/>
    </xf>
    <xf numFmtId="167"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70" fontId="10" fillId="4" borderId="2" xfId="0" applyFont="true" applyBorder="true" applyAlignment="true" applyProtection="false">
      <alignment horizontal="center" vertical="top" textRotation="0" wrapText="true" indent="0" shrinkToFit="false"/>
      <protection locked="true" hidden="false"/>
    </xf>
    <xf numFmtId="164" fontId="10" fillId="5" borderId="2" xfId="0" applyFont="true" applyBorder="true" applyAlignment="true" applyProtection="false">
      <alignment horizontal="center" vertical="top" textRotation="0" wrapText="true" indent="0" shrinkToFit="false"/>
      <protection locked="true" hidden="false"/>
    </xf>
    <xf numFmtId="171" fontId="6" fillId="4" borderId="2" xfId="0" applyFont="true" applyBorder="true" applyAlignment="true" applyProtection="false">
      <alignment horizontal="center" vertical="top" textRotation="0" wrapText="true" indent="0" shrinkToFit="false"/>
      <protection locked="true" hidden="false"/>
    </xf>
    <xf numFmtId="171" fontId="10" fillId="4" borderId="2" xfId="0" applyFont="true" applyBorder="true" applyAlignment="true" applyProtection="false">
      <alignment horizontal="center" vertical="top" textRotation="0" wrapText="tru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4"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ont>
        <name val="Arial"/>
        <charset val="1"/>
        <family val="0"/>
        <b val="1"/>
        <color rgb="FFB83E24"/>
      </font>
      <fill>
        <patternFill>
          <bgColor rgb="FFFBE6DF"/>
        </patternFill>
      </fill>
    </dxf>
    <dxf>
      <font>
        <name val="Arial"/>
        <charset val="1"/>
        <family val="0"/>
        <b val="1"/>
        <color rgb="FF1A1816"/>
      </font>
      <fill>
        <patternFill>
          <bgColor rgb="FFFDEFC8"/>
        </patternFill>
      </fill>
    </dxf>
    <dxf>
      <font>
        <name val="Arial"/>
        <charset val="1"/>
        <family val="0"/>
        <b val="1"/>
        <color rgb="FF137252"/>
      </font>
      <fill>
        <patternFill>
          <bgColor rgb="FFDCF1E9"/>
        </patternFill>
      </fill>
    </dxf>
    <dxf>
      <font>
        <name val="Arial"/>
        <charset val="1"/>
        <family val="0"/>
        <color rgb="FF1A1816"/>
      </font>
      <fill>
        <patternFill>
          <bgColor rgb="FFFDEFC8"/>
        </patternFill>
      </fill>
    </dxf>
    <dxf>
      <font>
        <name val="Arial"/>
        <charset val="1"/>
        <family val="0"/>
        <color rgb="FF1A1816"/>
      </font>
      <fill>
        <patternFill>
          <bgColor rgb="FFFBE6DF"/>
        </patternFill>
      </fill>
    </dxf>
    <dxf>
      <font>
        <name val="Arial"/>
        <charset val="1"/>
        <family val="0"/>
        <b val="1"/>
        <color rgb="FFFFFFFF"/>
      </font>
      <fill>
        <patternFill>
          <bgColor rgb="FF1A1816"/>
        </patternFill>
      </fill>
    </dxf>
    <dxf>
      <font>
        <name val="Arial"/>
        <charset val="1"/>
        <family val="0"/>
        <b val="1"/>
        <color rgb="FF137252"/>
      </font>
      <fill>
        <patternFill>
          <bgColor rgb="FF9ED8BF"/>
        </patternFill>
      </fill>
    </dxf>
    <dxf>
      <font>
        <name val="Arial"/>
        <charset val="1"/>
        <family val="0"/>
        <color rgb="FF5F5850"/>
      </font>
      <fill>
        <patternFill>
          <bgColor rgb="FFFBFAF7"/>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37252"/>
      <rgbColor rgb="FFC0C0C0"/>
      <rgbColor rgb="FF878787"/>
      <rgbColor rgb="FF9999FF"/>
      <rgbColor rgb="FF993366"/>
      <rgbColor rgb="FFFDEFC8"/>
      <rgbColor rgb="FFDCF1E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BFAF7"/>
      <rgbColor rgb="FFE6E0D6"/>
      <rgbColor rgb="FFFBE6DF"/>
      <rgbColor rgb="FF9ED8B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Passages de veille par mois</a:t>
            </a:r>
          </a:p>
        </c:rich>
      </c:tx>
      <c:overlay val="0"/>
      <c:spPr>
        <a:noFill/>
        <a:ln w="0">
          <a:noFill/>
        </a:ln>
      </c:spPr>
    </c:title>
    <c:autoTitleDeleted val="0"/>
    <c:plotArea>
      <c:barChart>
        <c:barDir val="col"/>
        <c:grouping val="stacked"/>
        <c:varyColors val="0"/>
        <c:ser>
          <c:idx val="0"/>
          <c:order val="0"/>
          <c:tx>
            <c:strRef>
              <c:f>Synthèse!C15</c:f>
              <c:strCache>
                <c:ptCount val="1"/>
                <c:pt idx="0">
                  <c:v>Veille légale (23)</c:v>
                </c:pt>
              </c:strCache>
            </c:strRef>
          </c:tx>
          <c:spPr>
            <a:solidFill>
              <a:srgbClr val="e8593c"/>
            </a:solidFill>
            <a:ln w="9360">
              <a:solidFill>
                <a:srgbClr val="e8593c"/>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Synthèse!$B$16:$B$27</c:f>
              <c:strCache>
                <c:ptCount val="12"/>
                <c:pt idx="0">
                  <c:v>10/2026</c:v>
                </c:pt>
                <c:pt idx="1">
                  <c:v>11/2026</c:v>
                </c:pt>
                <c:pt idx="2">
                  <c:v>12/2026</c:v>
                </c:pt>
                <c:pt idx="3">
                  <c:v>01/2027</c:v>
                </c:pt>
                <c:pt idx="4">
                  <c:v>02/2027</c:v>
                </c:pt>
                <c:pt idx="5">
                  <c:v>03/2027</c:v>
                </c:pt>
                <c:pt idx="6">
                  <c:v>04/2027</c:v>
                </c:pt>
                <c:pt idx="7">
                  <c:v>05/2027</c:v>
                </c:pt>
                <c:pt idx="8">
                  <c:v>06/2027</c:v>
                </c:pt>
                <c:pt idx="9">
                  <c:v>07/2027</c:v>
                </c:pt>
                <c:pt idx="10">
                  <c:v>08/2027</c:v>
                </c:pt>
                <c:pt idx="11">
                  <c:v>09/2027</c:v>
                </c:pt>
              </c:strCache>
            </c:strRef>
          </c:cat>
          <c:val>
            <c:numRef>
              <c:f>Synthèse!$C$16:$C$27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ser>
          <c:idx val="1"/>
          <c:order val="1"/>
          <c:tx>
            <c:strRef>
              <c:f>Synthèse!D15</c:f>
              <c:strCache>
                <c:ptCount val="1"/>
                <c:pt idx="0">
                  <c:v>Veille métiers (24)</c:v>
                </c:pt>
              </c:strCache>
            </c:strRef>
          </c:tx>
          <c:spPr>
            <a:solidFill>
              <a:srgbClr val="1d9e75"/>
            </a:solidFill>
            <a:ln w="9360">
              <a:solidFill>
                <a:srgbClr val="1d9e75"/>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Synthèse!$B$16:$B$27</c:f>
              <c:strCache>
                <c:ptCount val="12"/>
                <c:pt idx="0">
                  <c:v>10/2026</c:v>
                </c:pt>
                <c:pt idx="1">
                  <c:v>11/2026</c:v>
                </c:pt>
                <c:pt idx="2">
                  <c:v>12/2026</c:v>
                </c:pt>
                <c:pt idx="3">
                  <c:v>01/2027</c:v>
                </c:pt>
                <c:pt idx="4">
                  <c:v>02/2027</c:v>
                </c:pt>
                <c:pt idx="5">
                  <c:v>03/2027</c:v>
                </c:pt>
                <c:pt idx="6">
                  <c:v>04/2027</c:v>
                </c:pt>
                <c:pt idx="7">
                  <c:v>05/2027</c:v>
                </c:pt>
                <c:pt idx="8">
                  <c:v>06/2027</c:v>
                </c:pt>
                <c:pt idx="9">
                  <c:v>07/2027</c:v>
                </c:pt>
                <c:pt idx="10">
                  <c:v>08/2027</c:v>
                </c:pt>
                <c:pt idx="11">
                  <c:v>09/2027</c:v>
                </c:pt>
              </c:strCache>
            </c:strRef>
          </c:cat>
          <c:val>
            <c:numRef>
              <c:f>Synthèse!$D$16:$D$27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ser>
          <c:idx val="2"/>
          <c:order val="2"/>
          <c:tx>
            <c:strRef>
              <c:f>Synthèse!E15</c:f>
              <c:strCache>
                <c:ptCount val="1"/>
                <c:pt idx="0">
                  <c:v>Veille innovations (25)</c:v>
                </c:pt>
              </c:strCache>
            </c:strRef>
          </c:tx>
          <c:spPr>
            <a:solidFill>
              <a:srgbClr val="1a1816"/>
            </a:solidFill>
            <a:ln w="9360">
              <a:solidFill>
                <a:srgbClr val="1a1816"/>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Synthèse!$B$16:$B$27</c:f>
              <c:strCache>
                <c:ptCount val="12"/>
                <c:pt idx="0">
                  <c:v>10/2026</c:v>
                </c:pt>
                <c:pt idx="1">
                  <c:v>11/2026</c:v>
                </c:pt>
                <c:pt idx="2">
                  <c:v>12/2026</c:v>
                </c:pt>
                <c:pt idx="3">
                  <c:v>01/2027</c:v>
                </c:pt>
                <c:pt idx="4">
                  <c:v>02/2027</c:v>
                </c:pt>
                <c:pt idx="5">
                  <c:v>03/2027</c:v>
                </c:pt>
                <c:pt idx="6">
                  <c:v>04/2027</c:v>
                </c:pt>
                <c:pt idx="7">
                  <c:v>05/2027</c:v>
                </c:pt>
                <c:pt idx="8">
                  <c:v>06/2027</c:v>
                </c:pt>
                <c:pt idx="9">
                  <c:v>07/2027</c:v>
                </c:pt>
                <c:pt idx="10">
                  <c:v>08/2027</c:v>
                </c:pt>
                <c:pt idx="11">
                  <c:v>09/2027</c:v>
                </c:pt>
              </c:strCache>
            </c:strRef>
          </c:cat>
          <c:val>
            <c:numRef>
              <c:f>Synthèse!$E$16:$E$27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100"/>
        <c:axId val="59574778"/>
        <c:axId val="78542270"/>
      </c:barChart>
      <c:catAx>
        <c:axId val="5957477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8542270"/>
        <c:crosses val="autoZero"/>
        <c:auto val="1"/>
        <c:lblAlgn val="ctr"/>
        <c:lblOffset val="100"/>
        <c:noMultiLvlLbl val="0"/>
      </c:catAx>
      <c:valAx>
        <c:axId val="78542270"/>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574778"/>
        <c:crosses val="autoZero"/>
        <c:crossBetween val="between"/>
        <c:majorUnit val="1"/>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Passages de veille par mois</a:t>
            </a:r>
          </a:p>
        </c:rich>
      </c:tx>
      <c:overlay val="0"/>
      <c:spPr>
        <a:noFill/>
        <a:ln w="0">
          <a:noFill/>
        </a:ln>
      </c:spPr>
    </c:title>
    <c:autoTitleDeleted val="0"/>
    <c:plotArea>
      <c:barChart>
        <c:barDir val="col"/>
        <c:grouping val="stacked"/>
        <c:varyColors val="0"/>
        <c:ser>
          <c:idx val="0"/>
          <c:order val="0"/>
          <c:tx>
            <c:strRef>
              <c:f>'Exemple synthèse'!C15</c:f>
              <c:strCache>
                <c:ptCount val="1"/>
                <c:pt idx="0">
                  <c:v>Veille légale (23)</c:v>
                </c:pt>
              </c:strCache>
            </c:strRef>
          </c:tx>
          <c:spPr>
            <a:solidFill>
              <a:srgbClr val="e8593c"/>
            </a:solidFill>
            <a:ln w="9360">
              <a:solidFill>
                <a:srgbClr val="e8593c"/>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synthèse'!$B$16:$B$27</c:f>
              <c:strCache>
                <c:ptCount val="12"/>
                <c:pt idx="0">
                  <c:v>03/2026</c:v>
                </c:pt>
                <c:pt idx="1">
                  <c:v>04/2026</c:v>
                </c:pt>
                <c:pt idx="2">
                  <c:v>05/2026</c:v>
                </c:pt>
                <c:pt idx="3">
                  <c:v>06/2026</c:v>
                </c:pt>
                <c:pt idx="4">
                  <c:v>07/2026</c:v>
                </c:pt>
                <c:pt idx="5">
                  <c:v>08/2026</c:v>
                </c:pt>
                <c:pt idx="6">
                  <c:v>09/2026</c:v>
                </c:pt>
                <c:pt idx="7">
                  <c:v>10/2026</c:v>
                </c:pt>
                <c:pt idx="8">
                  <c:v>11/2026</c:v>
                </c:pt>
                <c:pt idx="9">
                  <c:v>12/2026</c:v>
                </c:pt>
                <c:pt idx="10">
                  <c:v>01/2027</c:v>
                </c:pt>
                <c:pt idx="11">
                  <c:v>02/2027</c:v>
                </c:pt>
              </c:strCache>
            </c:strRef>
          </c:cat>
          <c:val>
            <c:numRef>
              <c:f>'Exemple synthèse'!$C$16:$C$27</c:f>
              <c:numCache>
                <c:formatCode>0;\-0;;@</c:formatCode>
                <c:ptCount val="12"/>
                <c:pt idx="0">
                  <c:v>0</c:v>
                </c:pt>
                <c:pt idx="1">
                  <c:v>0</c:v>
                </c:pt>
                <c:pt idx="2">
                  <c:v>0</c:v>
                </c:pt>
                <c:pt idx="3">
                  <c:v>0</c:v>
                </c:pt>
                <c:pt idx="4">
                  <c:v>3</c:v>
                </c:pt>
                <c:pt idx="5">
                  <c:v>3</c:v>
                </c:pt>
                <c:pt idx="6">
                  <c:v>4</c:v>
                </c:pt>
                <c:pt idx="7">
                  <c:v>1</c:v>
                </c:pt>
                <c:pt idx="8">
                  <c:v>0</c:v>
                </c:pt>
                <c:pt idx="9">
                  <c:v>0</c:v>
                </c:pt>
                <c:pt idx="10">
                  <c:v>0</c:v>
                </c:pt>
                <c:pt idx="11">
                  <c:v>0</c:v>
                </c:pt>
              </c:numCache>
            </c:numRef>
          </c:val>
        </c:ser>
        <c:ser>
          <c:idx val="1"/>
          <c:order val="1"/>
          <c:tx>
            <c:strRef>
              <c:f>'Exemple synthèse'!D15</c:f>
              <c:strCache>
                <c:ptCount val="1"/>
                <c:pt idx="0">
                  <c:v>Veille métiers (24)</c:v>
                </c:pt>
              </c:strCache>
            </c:strRef>
          </c:tx>
          <c:spPr>
            <a:solidFill>
              <a:srgbClr val="1d9e75"/>
            </a:solidFill>
            <a:ln w="9360">
              <a:solidFill>
                <a:srgbClr val="1d9e75"/>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synthèse'!$B$16:$B$27</c:f>
              <c:strCache>
                <c:ptCount val="12"/>
                <c:pt idx="0">
                  <c:v>03/2026</c:v>
                </c:pt>
                <c:pt idx="1">
                  <c:v>04/2026</c:v>
                </c:pt>
                <c:pt idx="2">
                  <c:v>05/2026</c:v>
                </c:pt>
                <c:pt idx="3">
                  <c:v>06/2026</c:v>
                </c:pt>
                <c:pt idx="4">
                  <c:v>07/2026</c:v>
                </c:pt>
                <c:pt idx="5">
                  <c:v>08/2026</c:v>
                </c:pt>
                <c:pt idx="6">
                  <c:v>09/2026</c:v>
                </c:pt>
                <c:pt idx="7">
                  <c:v>10/2026</c:v>
                </c:pt>
                <c:pt idx="8">
                  <c:v>11/2026</c:v>
                </c:pt>
                <c:pt idx="9">
                  <c:v>12/2026</c:v>
                </c:pt>
                <c:pt idx="10">
                  <c:v>01/2027</c:v>
                </c:pt>
                <c:pt idx="11">
                  <c:v>02/2027</c:v>
                </c:pt>
              </c:strCache>
            </c:strRef>
          </c:cat>
          <c:val>
            <c:numRef>
              <c:f>'Exemple synthèse'!$D$16:$D$27</c:f>
              <c:numCache>
                <c:formatCode>0;\-0;;@</c:formatCode>
                <c:ptCount val="12"/>
                <c:pt idx="0">
                  <c:v>0</c:v>
                </c:pt>
                <c:pt idx="1">
                  <c:v>0</c:v>
                </c:pt>
                <c:pt idx="2">
                  <c:v>0</c:v>
                </c:pt>
                <c:pt idx="3">
                  <c:v>1</c:v>
                </c:pt>
                <c:pt idx="4">
                  <c:v>1</c:v>
                </c:pt>
                <c:pt idx="5">
                  <c:v>1</c:v>
                </c:pt>
                <c:pt idx="6">
                  <c:v>2</c:v>
                </c:pt>
                <c:pt idx="7">
                  <c:v>1</c:v>
                </c:pt>
                <c:pt idx="8">
                  <c:v>0</c:v>
                </c:pt>
                <c:pt idx="9">
                  <c:v>0</c:v>
                </c:pt>
                <c:pt idx="10">
                  <c:v>0</c:v>
                </c:pt>
                <c:pt idx="11">
                  <c:v>0</c:v>
                </c:pt>
              </c:numCache>
            </c:numRef>
          </c:val>
        </c:ser>
        <c:ser>
          <c:idx val="2"/>
          <c:order val="2"/>
          <c:tx>
            <c:strRef>
              <c:f>'Exemple synthèse'!E15</c:f>
              <c:strCache>
                <c:ptCount val="1"/>
                <c:pt idx="0">
                  <c:v>Veille innovations (25)</c:v>
                </c:pt>
              </c:strCache>
            </c:strRef>
          </c:tx>
          <c:spPr>
            <a:solidFill>
              <a:srgbClr val="1a1816"/>
            </a:solidFill>
            <a:ln w="9360">
              <a:solidFill>
                <a:srgbClr val="1a1816"/>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synthèse'!$B$16:$B$27</c:f>
              <c:strCache>
                <c:ptCount val="12"/>
                <c:pt idx="0">
                  <c:v>03/2026</c:v>
                </c:pt>
                <c:pt idx="1">
                  <c:v>04/2026</c:v>
                </c:pt>
                <c:pt idx="2">
                  <c:v>05/2026</c:v>
                </c:pt>
                <c:pt idx="3">
                  <c:v>06/2026</c:v>
                </c:pt>
                <c:pt idx="4">
                  <c:v>07/2026</c:v>
                </c:pt>
                <c:pt idx="5">
                  <c:v>08/2026</c:v>
                </c:pt>
                <c:pt idx="6">
                  <c:v>09/2026</c:v>
                </c:pt>
                <c:pt idx="7">
                  <c:v>10/2026</c:v>
                </c:pt>
                <c:pt idx="8">
                  <c:v>11/2026</c:v>
                </c:pt>
                <c:pt idx="9">
                  <c:v>12/2026</c:v>
                </c:pt>
                <c:pt idx="10">
                  <c:v>01/2027</c:v>
                </c:pt>
                <c:pt idx="11">
                  <c:v>02/2027</c:v>
                </c:pt>
              </c:strCache>
            </c:strRef>
          </c:cat>
          <c:val>
            <c:numRef>
              <c:f>'Exemple synthèse'!$E$16:$E$27</c:f>
              <c:numCache>
                <c:formatCode>0;\-0;;@</c:formatCode>
                <c:ptCount val="12"/>
                <c:pt idx="0">
                  <c:v>1</c:v>
                </c:pt>
                <c:pt idx="1">
                  <c:v>0</c:v>
                </c:pt>
                <c:pt idx="2">
                  <c:v>0</c:v>
                </c:pt>
                <c:pt idx="3">
                  <c:v>0</c:v>
                </c:pt>
                <c:pt idx="4">
                  <c:v>2</c:v>
                </c:pt>
                <c:pt idx="5">
                  <c:v>0</c:v>
                </c:pt>
                <c:pt idx="6">
                  <c:v>0</c:v>
                </c:pt>
                <c:pt idx="7">
                  <c:v>2</c:v>
                </c:pt>
                <c:pt idx="8">
                  <c:v>0</c:v>
                </c:pt>
                <c:pt idx="9">
                  <c:v>0</c:v>
                </c:pt>
                <c:pt idx="10">
                  <c:v>0</c:v>
                </c:pt>
                <c:pt idx="11">
                  <c:v>0</c:v>
                </c:pt>
              </c:numCache>
            </c:numRef>
          </c:val>
        </c:ser>
        <c:gapWidth val="150"/>
        <c:overlap val="100"/>
        <c:axId val="80499265"/>
        <c:axId val="92265294"/>
      </c:barChart>
      <c:catAx>
        <c:axId val="8049926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2265294"/>
        <c:crosses val="autoZero"/>
        <c:auto val="1"/>
        <c:lblAlgn val="ctr"/>
        <c:lblOffset val="100"/>
        <c:noMultiLvlLbl val="0"/>
      </c:catAx>
      <c:valAx>
        <c:axId val="92265294"/>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0499265"/>
        <c:crosses val="autoZero"/>
        <c:crossBetween val="between"/>
        <c:majorUnit val="1"/>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14</xdr:row>
      <xdr:rowOff>0</xdr:rowOff>
    </xdr:from>
    <xdr:to>
      <xdr:col>11</xdr:col>
      <xdr:colOff>2838240</xdr:colOff>
      <xdr:row>24</xdr:row>
      <xdr:rowOff>74160</xdr:rowOff>
    </xdr:to>
    <xdr:graphicFrame>
      <xdr:nvGraphicFramePr>
        <xdr:cNvPr id="0" name="Chart 1"/>
        <xdr:cNvGraphicFramePr/>
      </xdr:nvGraphicFramePr>
      <xdr:xfrm>
        <a:off x="7119000" y="4152960"/>
        <a:ext cx="5939640" cy="2807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14</xdr:row>
      <xdr:rowOff>0</xdr:rowOff>
    </xdr:from>
    <xdr:to>
      <xdr:col>11</xdr:col>
      <xdr:colOff>2838240</xdr:colOff>
      <xdr:row>24</xdr:row>
      <xdr:rowOff>74160</xdr:rowOff>
    </xdr:to>
    <xdr:graphicFrame>
      <xdr:nvGraphicFramePr>
        <xdr:cNvPr id="1" name="Chart 1"/>
        <xdr:cNvGraphicFramePr/>
      </xdr:nvGraphicFramePr>
      <xdr:xfrm>
        <a:off x="7119000" y="4152960"/>
        <a:ext cx="5939640" cy="2807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43.5" hidden="false" customHeight="true" outlineLevel="0" collapsed="false">
      <c r="B8" s="4" t="s">
        <v>4</v>
      </c>
    </row>
    <row r="9" customFormat="false" ht="43.5" hidden="false" customHeight="true" outlineLevel="0" collapsed="false">
      <c r="B9" s="4" t="s">
        <v>5</v>
      </c>
    </row>
    <row r="10" customFormat="false" ht="43.5" hidden="false" customHeight="true" outlineLevel="0" collapsed="false">
      <c r="B10" s="4" t="s">
        <v>6</v>
      </c>
    </row>
    <row r="11" customFormat="false" ht="43.5"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43.5" hidden="false" customHeight="true" outlineLevel="0" collapsed="false">
      <c r="B16" s="4" t="s">
        <v>11</v>
      </c>
    </row>
    <row r="17" customFormat="false" ht="30" hidden="false" customHeight="true" outlineLevel="0" collapsed="false">
      <c r="B17" s="4" t="s">
        <v>12</v>
      </c>
    </row>
    <row r="18" customFormat="false" ht="43.5" hidden="false" customHeight="true" outlineLevel="0" collapsed="false">
      <c r="B18" s="4" t="s">
        <v>13</v>
      </c>
    </row>
    <row r="19" customFormat="false" ht="30" hidden="false" customHeight="true" outlineLevel="0" collapsed="false">
      <c r="B19" s="4" t="s">
        <v>14</v>
      </c>
    </row>
    <row r="20" customFormat="false" ht="16.5" hidden="false" customHeight="true" outlineLevel="0" collapsed="false">
      <c r="B20" s="4" t="s">
        <v>15</v>
      </c>
    </row>
    <row r="22" customFormat="false" ht="19.5" hidden="false" customHeight="true" outlineLevel="0" collapsed="false">
      <c r="B22" s="5" t="s">
        <v>16</v>
      </c>
    </row>
    <row r="23" customFormat="false" ht="18" hidden="false" customHeight="true" outlineLevel="0" collapsed="false">
      <c r="B23" s="6" t="s">
        <v>17</v>
      </c>
    </row>
    <row r="24" customFormat="false" ht="18" hidden="false" customHeight="true" outlineLevel="0" collapsed="false">
      <c r="B24" s="7" t="s">
        <v>18</v>
      </c>
    </row>
    <row r="25" customFormat="false" ht="18" hidden="false" customHeight="true" outlineLevel="0" collapsed="false">
      <c r="B25" s="8" t="s">
        <v>19</v>
      </c>
    </row>
    <row r="27" customFormat="false" ht="19.5" hidden="false" customHeight="true" outlineLevel="0" collapsed="false">
      <c r="B27" s="5" t="s">
        <v>20</v>
      </c>
    </row>
    <row r="28" customFormat="false" ht="30" hidden="false" customHeight="true" outlineLevel="0" collapsed="false">
      <c r="B28" s="4" t="s">
        <v>21</v>
      </c>
    </row>
    <row r="29" customFormat="false" ht="30" hidden="false" customHeight="true" outlineLevel="0" collapsed="false">
      <c r="B29" s="4" t="s">
        <v>22</v>
      </c>
    </row>
    <row r="30" customFormat="false" ht="30" hidden="false" customHeight="true" outlineLevel="0" collapsed="false">
      <c r="B30" s="4" t="s">
        <v>23</v>
      </c>
    </row>
    <row r="31" customFormat="false" ht="30" hidden="false" customHeight="true" outlineLevel="0" collapsed="false">
      <c r="B31" s="4" t="s">
        <v>24</v>
      </c>
    </row>
    <row r="32" customFormat="false" ht="16.5" hidden="false" customHeight="true" outlineLevel="0" collapsed="false">
      <c r="B32" s="4" t="s">
        <v>25</v>
      </c>
    </row>
    <row r="34" customFormat="false" ht="19.5" hidden="false" customHeight="true" outlineLevel="0" collapsed="false">
      <c r="B34" s="5" t="s">
        <v>26</v>
      </c>
    </row>
    <row r="35" customFormat="false" ht="16.5" hidden="false" customHeight="true" outlineLevel="0" collapsed="false">
      <c r="B35" s="4" t="s">
        <v>27</v>
      </c>
    </row>
    <row r="37" customFormat="false" ht="43.5" hidden="false" customHeight="true" outlineLevel="0" collapsed="false">
      <c r="B37" s="9" t="s">
        <v>28</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X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34"/>
    <col collapsed="false" customWidth="true" hidden="false" outlineLevel="0" max="4" min="4" style="0" width="22"/>
    <col collapsed="false" customWidth="true" hidden="false" outlineLevel="0" max="5" min="5" style="0" width="30"/>
    <col collapsed="false" customWidth="true" hidden="false" outlineLevel="0" max="6" min="6" style="0" width="15"/>
    <col collapsed="false" customWidth="true" hidden="false" outlineLevel="0" max="7" min="7" style="0" width="9"/>
    <col collapsed="false" customWidth="true" hidden="false" outlineLevel="0" max="8" min="8" style="0" width="16"/>
    <col collapsed="false" customWidth="true" hidden="false" outlineLevel="0" max="11" min="9" style="0" width="12"/>
    <col collapsed="false" customWidth="true" hidden="false" outlineLevel="0" max="12" min="12" style="0" width="17"/>
    <col collapsed="false" customWidth="true" hidden="false" outlineLevel="0" max="24" min="13" style="0" width="8"/>
  </cols>
  <sheetData>
    <row r="1" customFormat="false" ht="21.75" hidden="false" customHeight="true" outlineLevel="0" collapsed="false">
      <c r="A1" s="1" t="s">
        <v>0</v>
      </c>
      <c r="B1" s="2"/>
      <c r="C1" s="2"/>
      <c r="D1" s="2"/>
      <c r="E1" s="2"/>
      <c r="F1" s="2"/>
      <c r="G1" s="2"/>
      <c r="H1" s="2"/>
      <c r="I1" s="2"/>
      <c r="J1" s="2"/>
      <c r="K1" s="2"/>
      <c r="L1" s="2"/>
      <c r="M1" s="2"/>
      <c r="N1" s="2"/>
      <c r="O1" s="2"/>
      <c r="P1" s="2"/>
      <c r="Q1" s="2"/>
      <c r="R1" s="2"/>
      <c r="S1" s="2"/>
      <c r="T1" s="2"/>
      <c r="U1" s="2"/>
      <c r="V1" s="2"/>
      <c r="W1" s="2"/>
      <c r="X1" s="2"/>
    </row>
    <row r="2" customFormat="false" ht="25.5" hidden="false" customHeight="true" outlineLevel="0" collapsed="false">
      <c r="A2" s="3" t="s">
        <v>29</v>
      </c>
    </row>
    <row r="3" customFormat="false" ht="15" hidden="false" customHeight="false" outlineLevel="0" collapsed="false">
      <c r="A3" s="10" t="s">
        <v>30</v>
      </c>
    </row>
    <row r="4" customFormat="false" ht="25.5" hidden="false" customHeight="true" outlineLevel="0" collapsed="false">
      <c r="A4" s="11" t="s">
        <v>31</v>
      </c>
      <c r="B4" s="11"/>
      <c r="C4" s="11"/>
      <c r="D4" s="12" t="n">
        <f aca="true">TODAY()</f>
        <v>46317</v>
      </c>
      <c r="E4" s="11" t="s">
        <v>32</v>
      </c>
      <c r="F4" s="13" t="n">
        <f aca="false">COUNTA(C11:C35)</f>
        <v>10</v>
      </c>
      <c r="H4" s="14" t="s">
        <v>33</v>
      </c>
      <c r="I4" s="14"/>
      <c r="J4" s="14"/>
      <c r="K4" s="14"/>
      <c r="L4" s="14"/>
    </row>
    <row r="5" customFormat="false" ht="25.5" hidden="false" customHeight="true" outlineLevel="0" collapsed="false">
      <c r="A5" s="11" t="s">
        <v>34</v>
      </c>
      <c r="B5" s="11"/>
      <c r="C5" s="11"/>
      <c r="D5" s="12" t="n">
        <f aca="false">DATE(YEAR(D4),MONTH(D4),1)</f>
        <v>46296</v>
      </c>
      <c r="E5" s="11" t="s">
        <v>35</v>
      </c>
      <c r="F5" s="13" t="n">
        <f aca="false">COUNTIF(L11:L35,"En retard")</f>
        <v>0</v>
      </c>
      <c r="H5" s="14"/>
      <c r="I5" s="14"/>
      <c r="J5" s="14"/>
      <c r="K5" s="14"/>
      <c r="L5" s="14"/>
    </row>
    <row r="6" customFormat="false" ht="25.5" hidden="false" customHeight="true" outlineLevel="0" collapsed="false">
      <c r="A6" s="11" t="s">
        <v>36</v>
      </c>
      <c r="B6" s="11"/>
      <c r="C6" s="11"/>
      <c r="D6" s="15"/>
      <c r="E6" s="11" t="s">
        <v>37</v>
      </c>
      <c r="F6" s="13" t="n">
        <f aca="false">COUNTIF(L11:L35,"Passage proche")</f>
        <v>0</v>
      </c>
      <c r="H6" s="14"/>
      <c r="I6" s="14"/>
      <c r="J6" s="14"/>
      <c r="K6" s="14"/>
      <c r="L6" s="14"/>
    </row>
    <row r="7" customFormat="false" ht="25.5" hidden="false" customHeight="true" outlineLevel="0" collapsed="false">
      <c r="E7" s="11" t="s">
        <v>38</v>
      </c>
      <c r="F7" s="13" t="n">
        <f aca="false">SUMPRODUCT((C11:C35&lt;&gt;"")*(J11:J35=""))</f>
        <v>10</v>
      </c>
      <c r="H7" s="14"/>
      <c r="I7" s="14"/>
      <c r="J7" s="14"/>
      <c r="K7" s="14"/>
      <c r="L7" s="14"/>
    </row>
    <row r="8" customFormat="false" ht="25.5" hidden="false" customHeight="true" outlineLevel="0" collapsed="false">
      <c r="E8" s="11" t="s">
        <v>39</v>
      </c>
      <c r="F8" s="13" t="n">
        <f aca="false">COUNT(Registre!$B$11:$B$50)</f>
        <v>0</v>
      </c>
      <c r="H8" s="14"/>
      <c r="I8" s="14"/>
      <c r="J8" s="14"/>
      <c r="K8" s="14"/>
      <c r="L8" s="14"/>
    </row>
    <row r="9" customFormat="false" ht="19.5" hidden="false" customHeight="true" outlineLevel="0" collapsed="false">
      <c r="A9" s="16" t="s">
        <v>40</v>
      </c>
      <c r="B9" s="16"/>
      <c r="C9" s="16"/>
      <c r="D9" s="16"/>
      <c r="E9" s="16"/>
      <c r="F9" s="17" t="s">
        <v>41</v>
      </c>
      <c r="G9" s="17"/>
      <c r="H9" s="17"/>
      <c r="I9" s="17"/>
      <c r="J9" s="16" t="s">
        <v>42</v>
      </c>
      <c r="K9" s="16"/>
      <c r="L9" s="16"/>
      <c r="M9" s="17" t="s">
        <v>43</v>
      </c>
      <c r="N9" s="17"/>
      <c r="O9" s="17"/>
      <c r="P9" s="17"/>
      <c r="Q9" s="17"/>
      <c r="R9" s="17"/>
      <c r="S9" s="17"/>
      <c r="T9" s="17"/>
      <c r="U9" s="17"/>
      <c r="V9" s="17"/>
      <c r="W9" s="17"/>
      <c r="X9" s="17"/>
    </row>
    <row r="10" customFormat="false" ht="39.75" hidden="false" customHeight="true" outlineLevel="0" collapsed="false">
      <c r="A10" s="18" t="s">
        <v>44</v>
      </c>
      <c r="B10" s="18" t="s">
        <v>45</v>
      </c>
      <c r="C10" s="18" t="s">
        <v>46</v>
      </c>
      <c r="D10" s="18" t="s">
        <v>47</v>
      </c>
      <c r="E10" s="18" t="s">
        <v>48</v>
      </c>
      <c r="F10" s="18" t="s">
        <v>49</v>
      </c>
      <c r="G10" s="18" t="s">
        <v>50</v>
      </c>
      <c r="H10" s="18" t="s">
        <v>51</v>
      </c>
      <c r="I10" s="18" t="s">
        <v>52</v>
      </c>
      <c r="J10" s="18" t="s">
        <v>53</v>
      </c>
      <c r="K10" s="18" t="s">
        <v>54</v>
      </c>
      <c r="L10" s="18" t="s">
        <v>55</v>
      </c>
      <c r="M10" s="19" t="n">
        <f aca="false">EDATE($D$5,0)</f>
        <v>46296</v>
      </c>
      <c r="N10" s="19" t="n">
        <f aca="false">EDATE($D$5,1)</f>
        <v>46327</v>
      </c>
      <c r="O10" s="19" t="n">
        <f aca="false">EDATE($D$5,2)</f>
        <v>46357</v>
      </c>
      <c r="P10" s="19" t="n">
        <f aca="false">EDATE($D$5,3)</f>
        <v>46388</v>
      </c>
      <c r="Q10" s="19" t="n">
        <f aca="false">EDATE($D$5,4)</f>
        <v>46419</v>
      </c>
      <c r="R10" s="19" t="n">
        <f aca="false">EDATE($D$5,5)</f>
        <v>46447</v>
      </c>
      <c r="S10" s="19" t="n">
        <f aca="false">EDATE($D$5,6)</f>
        <v>46478</v>
      </c>
      <c r="T10" s="19" t="n">
        <f aca="false">EDATE($D$5,7)</f>
        <v>46508</v>
      </c>
      <c r="U10" s="19" t="n">
        <f aca="false">EDATE($D$5,8)</f>
        <v>46539</v>
      </c>
      <c r="V10" s="19" t="n">
        <f aca="false">EDATE($D$5,9)</f>
        <v>46569</v>
      </c>
      <c r="W10" s="19" t="n">
        <f aca="false">EDATE($D$5,10)</f>
        <v>46600</v>
      </c>
      <c r="X10" s="19" t="n">
        <f aca="false">EDATE($D$5,11)</f>
        <v>46631</v>
      </c>
    </row>
    <row r="11" customFormat="false" ht="57.75" hidden="false" customHeight="true" outlineLevel="0" collapsed="false">
      <c r="A11" s="20" t="n">
        <v>1</v>
      </c>
      <c r="B11" s="21" t="s">
        <v>56</v>
      </c>
      <c r="C11" s="21" t="s">
        <v>57</v>
      </c>
      <c r="D11" s="21" t="s">
        <v>58</v>
      </c>
      <c r="E11" s="21" t="s">
        <v>59</v>
      </c>
      <c r="F11" s="21"/>
      <c r="G11" s="22" t="str">
        <f aca="false">IF(F11="","",IFERROR(IF(INDEX(Listes!$D$4:$D$10,MATCH(F11,Listes!$C$4:$C$10,0))="","",INDEX(Listes!$D$4:$D$10,MATCH(F11,Listes!$C$4:$C$10,0))),""))</f>
        <v/>
      </c>
      <c r="H11" s="21"/>
      <c r="I11" s="23"/>
      <c r="J11" s="24" t="str">
        <f aca="false">IF($C11="","",IFERROR(IF(SUMPRODUCT(MAX((Registre!$C$11:$C$50=$A11)*Registre!$B$11:$B$50))=0,"",SUMPRODUCT(MAX((Registre!$C$11:$C$50=$A11)*Registre!$B$11:$B$50))),""))</f>
        <v/>
      </c>
      <c r="K11" s="24" t="str">
        <f aca="false">IF(OR($C11="",G11=""),"",IF(J11&lt;&gt;"",J11+G11,IF(I11&lt;&gt;"",I11,"")))</f>
        <v/>
      </c>
      <c r="L11" s="25" t="str">
        <f aca="false">IF($C11="","",IF($F11="","Fréquence à choisir",IF(G11="","Au fil de l’eau",IF(K11="","Premier passage à planifier",IF(K11&lt;$D$4,"En retard",IF(K11&lt;=$D$4+$D$6,"Passage proche","À jour"))))))</f>
        <v>Fréquence à choisir</v>
      </c>
      <c r="M11" s="25" t="str">
        <f aca="false">IF($C11="","",IF(COUNTIFS(Registre!$C$11:$C$50,$A11,Registre!$B$11:$B$50,"&gt;="&amp;M$10,Registre!$B$11:$B$50,"&lt;"&amp;EDATE(M$10,1))&gt;0,COUNTIFS(Registre!$C$11:$C$50,$A11,Registre!$B$11:$B$50,"&gt;="&amp;M$10,Registre!$B$11:$B$50,"&lt;"&amp;EDATE(M$10,1)),IF(AND($K11&lt;&gt;"",$K11&gt;=M$10,$K11&lt;EDATE(M$10,1)),"prévu","")))</f>
        <v/>
      </c>
      <c r="N11" s="25" t="str">
        <f aca="false">IF($C11="","",IF(COUNTIFS(Registre!$C$11:$C$50,$A11,Registre!$B$11:$B$50,"&gt;="&amp;N$10,Registre!$B$11:$B$50,"&lt;"&amp;EDATE(N$10,1))&gt;0,COUNTIFS(Registre!$C$11:$C$50,$A11,Registre!$B$11:$B$50,"&gt;="&amp;N$10,Registre!$B$11:$B$50,"&lt;"&amp;EDATE(N$10,1)),IF(AND($K11&lt;&gt;"",$K11&gt;=N$10,$K11&lt;EDATE(N$10,1)),"prévu","")))</f>
        <v/>
      </c>
      <c r="O11" s="25" t="str">
        <f aca="false">IF($C11="","",IF(COUNTIFS(Registre!$C$11:$C$50,$A11,Registre!$B$11:$B$50,"&gt;="&amp;O$10,Registre!$B$11:$B$50,"&lt;"&amp;EDATE(O$10,1))&gt;0,COUNTIFS(Registre!$C$11:$C$50,$A11,Registre!$B$11:$B$50,"&gt;="&amp;O$10,Registre!$B$11:$B$50,"&lt;"&amp;EDATE(O$10,1)),IF(AND($K11&lt;&gt;"",$K11&gt;=O$10,$K11&lt;EDATE(O$10,1)),"prévu","")))</f>
        <v/>
      </c>
      <c r="P11" s="25" t="str">
        <f aca="false">IF($C11="","",IF(COUNTIFS(Registre!$C$11:$C$50,$A11,Registre!$B$11:$B$50,"&gt;="&amp;P$10,Registre!$B$11:$B$50,"&lt;"&amp;EDATE(P$10,1))&gt;0,COUNTIFS(Registre!$C$11:$C$50,$A11,Registre!$B$11:$B$50,"&gt;="&amp;P$10,Registre!$B$11:$B$50,"&lt;"&amp;EDATE(P$10,1)),IF(AND($K11&lt;&gt;"",$K11&gt;=P$10,$K11&lt;EDATE(P$10,1)),"prévu","")))</f>
        <v/>
      </c>
      <c r="Q11" s="25" t="str">
        <f aca="false">IF($C11="","",IF(COUNTIFS(Registre!$C$11:$C$50,$A11,Registre!$B$11:$B$50,"&gt;="&amp;Q$10,Registre!$B$11:$B$50,"&lt;"&amp;EDATE(Q$10,1))&gt;0,COUNTIFS(Registre!$C$11:$C$50,$A11,Registre!$B$11:$B$50,"&gt;="&amp;Q$10,Registre!$B$11:$B$50,"&lt;"&amp;EDATE(Q$10,1)),IF(AND($K11&lt;&gt;"",$K11&gt;=Q$10,$K11&lt;EDATE(Q$10,1)),"prévu","")))</f>
        <v/>
      </c>
      <c r="R11" s="25" t="str">
        <f aca="false">IF($C11="","",IF(COUNTIFS(Registre!$C$11:$C$50,$A11,Registre!$B$11:$B$50,"&gt;="&amp;R$10,Registre!$B$11:$B$50,"&lt;"&amp;EDATE(R$10,1))&gt;0,COUNTIFS(Registre!$C$11:$C$50,$A11,Registre!$B$11:$B$50,"&gt;="&amp;R$10,Registre!$B$11:$B$50,"&lt;"&amp;EDATE(R$10,1)),IF(AND($K11&lt;&gt;"",$K11&gt;=R$10,$K11&lt;EDATE(R$10,1)),"prévu","")))</f>
        <v/>
      </c>
      <c r="S11" s="25" t="str">
        <f aca="false">IF($C11="","",IF(COUNTIFS(Registre!$C$11:$C$50,$A11,Registre!$B$11:$B$50,"&gt;="&amp;S$10,Registre!$B$11:$B$50,"&lt;"&amp;EDATE(S$10,1))&gt;0,COUNTIFS(Registre!$C$11:$C$50,$A11,Registre!$B$11:$B$50,"&gt;="&amp;S$10,Registre!$B$11:$B$50,"&lt;"&amp;EDATE(S$10,1)),IF(AND($K11&lt;&gt;"",$K11&gt;=S$10,$K11&lt;EDATE(S$10,1)),"prévu","")))</f>
        <v/>
      </c>
      <c r="T11" s="25" t="str">
        <f aca="false">IF($C11="","",IF(COUNTIFS(Registre!$C$11:$C$50,$A11,Registre!$B$11:$B$50,"&gt;="&amp;T$10,Registre!$B$11:$B$50,"&lt;"&amp;EDATE(T$10,1))&gt;0,COUNTIFS(Registre!$C$11:$C$50,$A11,Registre!$B$11:$B$50,"&gt;="&amp;T$10,Registre!$B$11:$B$50,"&lt;"&amp;EDATE(T$10,1)),IF(AND($K11&lt;&gt;"",$K11&gt;=T$10,$K11&lt;EDATE(T$10,1)),"prévu","")))</f>
        <v/>
      </c>
      <c r="U11" s="25" t="str">
        <f aca="false">IF($C11="","",IF(COUNTIFS(Registre!$C$11:$C$50,$A11,Registre!$B$11:$B$50,"&gt;="&amp;U$10,Registre!$B$11:$B$50,"&lt;"&amp;EDATE(U$10,1))&gt;0,COUNTIFS(Registre!$C$11:$C$50,$A11,Registre!$B$11:$B$50,"&gt;="&amp;U$10,Registre!$B$11:$B$50,"&lt;"&amp;EDATE(U$10,1)),IF(AND($K11&lt;&gt;"",$K11&gt;=U$10,$K11&lt;EDATE(U$10,1)),"prévu","")))</f>
        <v/>
      </c>
      <c r="V11" s="25" t="str">
        <f aca="false">IF($C11="","",IF(COUNTIFS(Registre!$C$11:$C$50,$A11,Registre!$B$11:$B$50,"&gt;="&amp;V$10,Registre!$B$11:$B$50,"&lt;"&amp;EDATE(V$10,1))&gt;0,COUNTIFS(Registre!$C$11:$C$50,$A11,Registre!$B$11:$B$50,"&gt;="&amp;V$10,Registre!$B$11:$B$50,"&lt;"&amp;EDATE(V$10,1)),IF(AND($K11&lt;&gt;"",$K11&gt;=V$10,$K11&lt;EDATE(V$10,1)),"prévu","")))</f>
        <v/>
      </c>
      <c r="W11" s="25" t="str">
        <f aca="false">IF($C11="","",IF(COUNTIFS(Registre!$C$11:$C$50,$A11,Registre!$B$11:$B$50,"&gt;="&amp;W$10,Registre!$B$11:$B$50,"&lt;"&amp;EDATE(W$10,1))&gt;0,COUNTIFS(Registre!$C$11:$C$50,$A11,Registre!$B$11:$B$50,"&gt;="&amp;W$10,Registre!$B$11:$B$50,"&lt;"&amp;EDATE(W$10,1)),IF(AND($K11&lt;&gt;"",$K11&gt;=W$10,$K11&lt;EDATE(W$10,1)),"prévu","")))</f>
        <v/>
      </c>
      <c r="X11" s="25" t="str">
        <f aca="false">IF($C11="","",IF(COUNTIFS(Registre!$C$11:$C$50,$A11,Registre!$B$11:$B$50,"&gt;="&amp;X$10,Registre!$B$11:$B$50,"&lt;"&amp;EDATE(X$10,1))&gt;0,COUNTIFS(Registre!$C$11:$C$50,$A11,Registre!$B$11:$B$50,"&gt;="&amp;X$10,Registre!$B$11:$B$50,"&lt;"&amp;EDATE(X$10,1)),IF(AND($K11&lt;&gt;"",$K11&gt;=X$10,$K11&lt;EDATE(X$10,1)),"prévu","")))</f>
        <v/>
      </c>
    </row>
    <row r="12" customFormat="false" ht="45" hidden="false" customHeight="true" outlineLevel="0" collapsed="false">
      <c r="A12" s="20" t="n">
        <v>2</v>
      </c>
      <c r="B12" s="21" t="s">
        <v>56</v>
      </c>
      <c r="C12" s="21" t="s">
        <v>60</v>
      </c>
      <c r="D12" s="21" t="s">
        <v>61</v>
      </c>
      <c r="E12" s="21" t="s">
        <v>62</v>
      </c>
      <c r="F12" s="21"/>
      <c r="G12" s="22" t="str">
        <f aca="false">IF(F12="","",IFERROR(IF(INDEX(Listes!$D$4:$D$10,MATCH(F12,Listes!$C$4:$C$10,0))="","",INDEX(Listes!$D$4:$D$10,MATCH(F12,Listes!$C$4:$C$10,0))),""))</f>
        <v/>
      </c>
      <c r="H12" s="21"/>
      <c r="I12" s="23"/>
      <c r="J12" s="24" t="str">
        <f aca="false">IF($C12="","",IFERROR(IF(SUMPRODUCT(MAX((Registre!$C$11:$C$50=$A12)*Registre!$B$11:$B$50))=0,"",SUMPRODUCT(MAX((Registre!$C$11:$C$50=$A12)*Registre!$B$11:$B$50))),""))</f>
        <v/>
      </c>
      <c r="K12" s="24" t="str">
        <f aca="false">IF(OR($C12="",G12=""),"",IF(J12&lt;&gt;"",J12+G12,IF(I12&lt;&gt;"",I12,"")))</f>
        <v/>
      </c>
      <c r="L12" s="25" t="str">
        <f aca="false">IF($C12="","",IF($F12="","Fréquence à choisir",IF(G12="","Au fil de l’eau",IF(K12="","Premier passage à planifier",IF(K12&lt;$D$4,"En retard",IF(K12&lt;=$D$4+$D$6,"Passage proche","À jour"))))))</f>
        <v>Fréquence à choisir</v>
      </c>
      <c r="M12" s="25" t="str">
        <f aca="false">IF($C12="","",IF(COUNTIFS(Registre!$C$11:$C$50,$A12,Registre!$B$11:$B$50,"&gt;="&amp;M$10,Registre!$B$11:$B$50,"&lt;"&amp;EDATE(M$10,1))&gt;0,COUNTIFS(Registre!$C$11:$C$50,$A12,Registre!$B$11:$B$50,"&gt;="&amp;M$10,Registre!$B$11:$B$50,"&lt;"&amp;EDATE(M$10,1)),IF(AND($K12&lt;&gt;"",$K12&gt;=M$10,$K12&lt;EDATE(M$10,1)),"prévu","")))</f>
        <v/>
      </c>
      <c r="N12" s="25" t="str">
        <f aca="false">IF($C12="","",IF(COUNTIFS(Registre!$C$11:$C$50,$A12,Registre!$B$11:$B$50,"&gt;="&amp;N$10,Registre!$B$11:$B$50,"&lt;"&amp;EDATE(N$10,1))&gt;0,COUNTIFS(Registre!$C$11:$C$50,$A12,Registre!$B$11:$B$50,"&gt;="&amp;N$10,Registre!$B$11:$B$50,"&lt;"&amp;EDATE(N$10,1)),IF(AND($K12&lt;&gt;"",$K12&gt;=N$10,$K12&lt;EDATE(N$10,1)),"prévu","")))</f>
        <v/>
      </c>
      <c r="O12" s="25" t="str">
        <f aca="false">IF($C12="","",IF(COUNTIFS(Registre!$C$11:$C$50,$A12,Registre!$B$11:$B$50,"&gt;="&amp;O$10,Registre!$B$11:$B$50,"&lt;"&amp;EDATE(O$10,1))&gt;0,COUNTIFS(Registre!$C$11:$C$50,$A12,Registre!$B$11:$B$50,"&gt;="&amp;O$10,Registre!$B$11:$B$50,"&lt;"&amp;EDATE(O$10,1)),IF(AND($K12&lt;&gt;"",$K12&gt;=O$10,$K12&lt;EDATE(O$10,1)),"prévu","")))</f>
        <v/>
      </c>
      <c r="P12" s="25" t="str">
        <f aca="false">IF($C12="","",IF(COUNTIFS(Registre!$C$11:$C$50,$A12,Registre!$B$11:$B$50,"&gt;="&amp;P$10,Registre!$B$11:$B$50,"&lt;"&amp;EDATE(P$10,1))&gt;0,COUNTIFS(Registre!$C$11:$C$50,$A12,Registre!$B$11:$B$50,"&gt;="&amp;P$10,Registre!$B$11:$B$50,"&lt;"&amp;EDATE(P$10,1)),IF(AND($K12&lt;&gt;"",$K12&gt;=P$10,$K12&lt;EDATE(P$10,1)),"prévu","")))</f>
        <v/>
      </c>
      <c r="Q12" s="25" t="str">
        <f aca="false">IF($C12="","",IF(COUNTIFS(Registre!$C$11:$C$50,$A12,Registre!$B$11:$B$50,"&gt;="&amp;Q$10,Registre!$B$11:$B$50,"&lt;"&amp;EDATE(Q$10,1))&gt;0,COUNTIFS(Registre!$C$11:$C$50,$A12,Registre!$B$11:$B$50,"&gt;="&amp;Q$10,Registre!$B$11:$B$50,"&lt;"&amp;EDATE(Q$10,1)),IF(AND($K12&lt;&gt;"",$K12&gt;=Q$10,$K12&lt;EDATE(Q$10,1)),"prévu","")))</f>
        <v/>
      </c>
      <c r="R12" s="25" t="str">
        <f aca="false">IF($C12="","",IF(COUNTIFS(Registre!$C$11:$C$50,$A12,Registre!$B$11:$B$50,"&gt;="&amp;R$10,Registre!$B$11:$B$50,"&lt;"&amp;EDATE(R$10,1))&gt;0,COUNTIFS(Registre!$C$11:$C$50,$A12,Registre!$B$11:$B$50,"&gt;="&amp;R$10,Registre!$B$11:$B$50,"&lt;"&amp;EDATE(R$10,1)),IF(AND($K12&lt;&gt;"",$K12&gt;=R$10,$K12&lt;EDATE(R$10,1)),"prévu","")))</f>
        <v/>
      </c>
      <c r="S12" s="25" t="str">
        <f aca="false">IF($C12="","",IF(COUNTIFS(Registre!$C$11:$C$50,$A12,Registre!$B$11:$B$50,"&gt;="&amp;S$10,Registre!$B$11:$B$50,"&lt;"&amp;EDATE(S$10,1))&gt;0,COUNTIFS(Registre!$C$11:$C$50,$A12,Registre!$B$11:$B$50,"&gt;="&amp;S$10,Registre!$B$11:$B$50,"&lt;"&amp;EDATE(S$10,1)),IF(AND($K12&lt;&gt;"",$K12&gt;=S$10,$K12&lt;EDATE(S$10,1)),"prévu","")))</f>
        <v/>
      </c>
      <c r="T12" s="25" t="str">
        <f aca="false">IF($C12="","",IF(COUNTIFS(Registre!$C$11:$C$50,$A12,Registre!$B$11:$B$50,"&gt;="&amp;T$10,Registre!$B$11:$B$50,"&lt;"&amp;EDATE(T$10,1))&gt;0,COUNTIFS(Registre!$C$11:$C$50,$A12,Registre!$B$11:$B$50,"&gt;="&amp;T$10,Registre!$B$11:$B$50,"&lt;"&amp;EDATE(T$10,1)),IF(AND($K12&lt;&gt;"",$K12&gt;=T$10,$K12&lt;EDATE(T$10,1)),"prévu","")))</f>
        <v/>
      </c>
      <c r="U12" s="25" t="str">
        <f aca="false">IF($C12="","",IF(COUNTIFS(Registre!$C$11:$C$50,$A12,Registre!$B$11:$B$50,"&gt;="&amp;U$10,Registre!$B$11:$B$50,"&lt;"&amp;EDATE(U$10,1))&gt;0,COUNTIFS(Registre!$C$11:$C$50,$A12,Registre!$B$11:$B$50,"&gt;="&amp;U$10,Registre!$B$11:$B$50,"&lt;"&amp;EDATE(U$10,1)),IF(AND($K12&lt;&gt;"",$K12&gt;=U$10,$K12&lt;EDATE(U$10,1)),"prévu","")))</f>
        <v/>
      </c>
      <c r="V12" s="25" t="str">
        <f aca="false">IF($C12="","",IF(COUNTIFS(Registre!$C$11:$C$50,$A12,Registre!$B$11:$B$50,"&gt;="&amp;V$10,Registre!$B$11:$B$50,"&lt;"&amp;EDATE(V$10,1))&gt;0,COUNTIFS(Registre!$C$11:$C$50,$A12,Registre!$B$11:$B$50,"&gt;="&amp;V$10,Registre!$B$11:$B$50,"&lt;"&amp;EDATE(V$10,1)),IF(AND($K12&lt;&gt;"",$K12&gt;=V$10,$K12&lt;EDATE(V$10,1)),"prévu","")))</f>
        <v/>
      </c>
      <c r="W12" s="25" t="str">
        <f aca="false">IF($C12="","",IF(COUNTIFS(Registre!$C$11:$C$50,$A12,Registre!$B$11:$B$50,"&gt;="&amp;W$10,Registre!$B$11:$B$50,"&lt;"&amp;EDATE(W$10,1))&gt;0,COUNTIFS(Registre!$C$11:$C$50,$A12,Registre!$B$11:$B$50,"&gt;="&amp;W$10,Registre!$B$11:$B$50,"&lt;"&amp;EDATE(W$10,1)),IF(AND($K12&lt;&gt;"",$K12&gt;=W$10,$K12&lt;EDATE(W$10,1)),"prévu","")))</f>
        <v/>
      </c>
      <c r="X12" s="25" t="str">
        <f aca="false">IF($C12="","",IF(COUNTIFS(Registre!$C$11:$C$50,$A12,Registre!$B$11:$B$50,"&gt;="&amp;X$10,Registre!$B$11:$B$50,"&lt;"&amp;EDATE(X$10,1))&gt;0,COUNTIFS(Registre!$C$11:$C$50,$A12,Registre!$B$11:$B$50,"&gt;="&amp;X$10,Registre!$B$11:$B$50,"&lt;"&amp;EDATE(X$10,1)),IF(AND($K12&lt;&gt;"",$K12&gt;=X$10,$K12&lt;EDATE(X$10,1)),"prévu","")))</f>
        <v/>
      </c>
    </row>
    <row r="13" customFormat="false" ht="45" hidden="false" customHeight="true" outlineLevel="0" collapsed="false">
      <c r="A13" s="20" t="n">
        <v>3</v>
      </c>
      <c r="B13" s="21" t="s">
        <v>56</v>
      </c>
      <c r="C13" s="21" t="s">
        <v>63</v>
      </c>
      <c r="D13" s="21" t="s">
        <v>61</v>
      </c>
      <c r="E13" s="21" t="s">
        <v>64</v>
      </c>
      <c r="F13" s="21"/>
      <c r="G13" s="22" t="str">
        <f aca="false">IF(F13="","",IFERROR(IF(INDEX(Listes!$D$4:$D$10,MATCH(F13,Listes!$C$4:$C$10,0))="","",INDEX(Listes!$D$4:$D$10,MATCH(F13,Listes!$C$4:$C$10,0))),""))</f>
        <v/>
      </c>
      <c r="H13" s="21"/>
      <c r="I13" s="23"/>
      <c r="J13" s="24" t="str">
        <f aca="false">IF($C13="","",IFERROR(IF(SUMPRODUCT(MAX((Registre!$C$11:$C$50=$A13)*Registre!$B$11:$B$50))=0,"",SUMPRODUCT(MAX((Registre!$C$11:$C$50=$A13)*Registre!$B$11:$B$50))),""))</f>
        <v/>
      </c>
      <c r="K13" s="24" t="str">
        <f aca="false">IF(OR($C13="",G13=""),"",IF(J13&lt;&gt;"",J13+G13,IF(I13&lt;&gt;"",I13,"")))</f>
        <v/>
      </c>
      <c r="L13" s="25" t="str">
        <f aca="false">IF($C13="","",IF($F13="","Fréquence à choisir",IF(G13="","Au fil de l’eau",IF(K13="","Premier passage à planifier",IF(K13&lt;$D$4,"En retard",IF(K13&lt;=$D$4+$D$6,"Passage proche","À jour"))))))</f>
        <v>Fréquence à choisir</v>
      </c>
      <c r="M13" s="25" t="str">
        <f aca="false">IF($C13="","",IF(COUNTIFS(Registre!$C$11:$C$50,$A13,Registre!$B$11:$B$50,"&gt;="&amp;M$10,Registre!$B$11:$B$50,"&lt;"&amp;EDATE(M$10,1))&gt;0,COUNTIFS(Registre!$C$11:$C$50,$A13,Registre!$B$11:$B$50,"&gt;="&amp;M$10,Registre!$B$11:$B$50,"&lt;"&amp;EDATE(M$10,1)),IF(AND($K13&lt;&gt;"",$K13&gt;=M$10,$K13&lt;EDATE(M$10,1)),"prévu","")))</f>
        <v/>
      </c>
      <c r="N13" s="25" t="str">
        <f aca="false">IF($C13="","",IF(COUNTIFS(Registre!$C$11:$C$50,$A13,Registre!$B$11:$B$50,"&gt;="&amp;N$10,Registre!$B$11:$B$50,"&lt;"&amp;EDATE(N$10,1))&gt;0,COUNTIFS(Registre!$C$11:$C$50,$A13,Registre!$B$11:$B$50,"&gt;="&amp;N$10,Registre!$B$11:$B$50,"&lt;"&amp;EDATE(N$10,1)),IF(AND($K13&lt;&gt;"",$K13&gt;=N$10,$K13&lt;EDATE(N$10,1)),"prévu","")))</f>
        <v/>
      </c>
      <c r="O13" s="25" t="str">
        <f aca="false">IF($C13="","",IF(COUNTIFS(Registre!$C$11:$C$50,$A13,Registre!$B$11:$B$50,"&gt;="&amp;O$10,Registre!$B$11:$B$50,"&lt;"&amp;EDATE(O$10,1))&gt;0,COUNTIFS(Registre!$C$11:$C$50,$A13,Registre!$B$11:$B$50,"&gt;="&amp;O$10,Registre!$B$11:$B$50,"&lt;"&amp;EDATE(O$10,1)),IF(AND($K13&lt;&gt;"",$K13&gt;=O$10,$K13&lt;EDATE(O$10,1)),"prévu","")))</f>
        <v/>
      </c>
      <c r="P13" s="25" t="str">
        <f aca="false">IF($C13="","",IF(COUNTIFS(Registre!$C$11:$C$50,$A13,Registre!$B$11:$B$50,"&gt;="&amp;P$10,Registre!$B$11:$B$50,"&lt;"&amp;EDATE(P$10,1))&gt;0,COUNTIFS(Registre!$C$11:$C$50,$A13,Registre!$B$11:$B$50,"&gt;="&amp;P$10,Registre!$B$11:$B$50,"&lt;"&amp;EDATE(P$10,1)),IF(AND($K13&lt;&gt;"",$K13&gt;=P$10,$K13&lt;EDATE(P$10,1)),"prévu","")))</f>
        <v/>
      </c>
      <c r="Q13" s="25" t="str">
        <f aca="false">IF($C13="","",IF(COUNTIFS(Registre!$C$11:$C$50,$A13,Registre!$B$11:$B$50,"&gt;="&amp;Q$10,Registre!$B$11:$B$50,"&lt;"&amp;EDATE(Q$10,1))&gt;0,COUNTIFS(Registre!$C$11:$C$50,$A13,Registre!$B$11:$B$50,"&gt;="&amp;Q$10,Registre!$B$11:$B$50,"&lt;"&amp;EDATE(Q$10,1)),IF(AND($K13&lt;&gt;"",$K13&gt;=Q$10,$K13&lt;EDATE(Q$10,1)),"prévu","")))</f>
        <v/>
      </c>
      <c r="R13" s="25" t="str">
        <f aca="false">IF($C13="","",IF(COUNTIFS(Registre!$C$11:$C$50,$A13,Registre!$B$11:$B$50,"&gt;="&amp;R$10,Registre!$B$11:$B$50,"&lt;"&amp;EDATE(R$10,1))&gt;0,COUNTIFS(Registre!$C$11:$C$50,$A13,Registre!$B$11:$B$50,"&gt;="&amp;R$10,Registre!$B$11:$B$50,"&lt;"&amp;EDATE(R$10,1)),IF(AND($K13&lt;&gt;"",$K13&gt;=R$10,$K13&lt;EDATE(R$10,1)),"prévu","")))</f>
        <v/>
      </c>
      <c r="S13" s="25" t="str">
        <f aca="false">IF($C13="","",IF(COUNTIFS(Registre!$C$11:$C$50,$A13,Registre!$B$11:$B$50,"&gt;="&amp;S$10,Registre!$B$11:$B$50,"&lt;"&amp;EDATE(S$10,1))&gt;0,COUNTIFS(Registre!$C$11:$C$50,$A13,Registre!$B$11:$B$50,"&gt;="&amp;S$10,Registre!$B$11:$B$50,"&lt;"&amp;EDATE(S$10,1)),IF(AND($K13&lt;&gt;"",$K13&gt;=S$10,$K13&lt;EDATE(S$10,1)),"prévu","")))</f>
        <v/>
      </c>
      <c r="T13" s="25" t="str">
        <f aca="false">IF($C13="","",IF(COUNTIFS(Registre!$C$11:$C$50,$A13,Registre!$B$11:$B$50,"&gt;="&amp;T$10,Registre!$B$11:$B$50,"&lt;"&amp;EDATE(T$10,1))&gt;0,COUNTIFS(Registre!$C$11:$C$50,$A13,Registre!$B$11:$B$50,"&gt;="&amp;T$10,Registre!$B$11:$B$50,"&lt;"&amp;EDATE(T$10,1)),IF(AND($K13&lt;&gt;"",$K13&gt;=T$10,$K13&lt;EDATE(T$10,1)),"prévu","")))</f>
        <v/>
      </c>
      <c r="U13" s="25" t="str">
        <f aca="false">IF($C13="","",IF(COUNTIFS(Registre!$C$11:$C$50,$A13,Registre!$B$11:$B$50,"&gt;="&amp;U$10,Registre!$B$11:$B$50,"&lt;"&amp;EDATE(U$10,1))&gt;0,COUNTIFS(Registre!$C$11:$C$50,$A13,Registre!$B$11:$B$50,"&gt;="&amp;U$10,Registre!$B$11:$B$50,"&lt;"&amp;EDATE(U$10,1)),IF(AND($K13&lt;&gt;"",$K13&gt;=U$10,$K13&lt;EDATE(U$10,1)),"prévu","")))</f>
        <v/>
      </c>
      <c r="V13" s="25" t="str">
        <f aca="false">IF($C13="","",IF(COUNTIFS(Registre!$C$11:$C$50,$A13,Registre!$B$11:$B$50,"&gt;="&amp;V$10,Registre!$B$11:$B$50,"&lt;"&amp;EDATE(V$10,1))&gt;0,COUNTIFS(Registre!$C$11:$C$50,$A13,Registre!$B$11:$B$50,"&gt;="&amp;V$10,Registre!$B$11:$B$50,"&lt;"&amp;EDATE(V$10,1)),IF(AND($K13&lt;&gt;"",$K13&gt;=V$10,$K13&lt;EDATE(V$10,1)),"prévu","")))</f>
        <v/>
      </c>
      <c r="W13" s="25" t="str">
        <f aca="false">IF($C13="","",IF(COUNTIFS(Registre!$C$11:$C$50,$A13,Registre!$B$11:$B$50,"&gt;="&amp;W$10,Registre!$B$11:$B$50,"&lt;"&amp;EDATE(W$10,1))&gt;0,COUNTIFS(Registre!$C$11:$C$50,$A13,Registre!$B$11:$B$50,"&gt;="&amp;W$10,Registre!$B$11:$B$50,"&lt;"&amp;EDATE(W$10,1)),IF(AND($K13&lt;&gt;"",$K13&gt;=W$10,$K13&lt;EDATE(W$10,1)),"prévu","")))</f>
        <v/>
      </c>
      <c r="X13" s="25" t="str">
        <f aca="false">IF($C13="","",IF(COUNTIFS(Registre!$C$11:$C$50,$A13,Registre!$B$11:$B$50,"&gt;="&amp;X$10,Registre!$B$11:$B$50,"&lt;"&amp;EDATE(X$10,1))&gt;0,COUNTIFS(Registre!$C$11:$C$50,$A13,Registre!$B$11:$B$50,"&gt;="&amp;X$10,Registre!$B$11:$B$50,"&lt;"&amp;EDATE(X$10,1)),IF(AND($K13&lt;&gt;"",$K13&gt;=X$10,$K13&lt;EDATE(X$10,1)),"prévu","")))</f>
        <v/>
      </c>
    </row>
    <row r="14" customFormat="false" ht="31.5" hidden="false" customHeight="true" outlineLevel="0" collapsed="false">
      <c r="A14" s="20" t="n">
        <v>4</v>
      </c>
      <c r="B14" s="21" t="s">
        <v>56</v>
      </c>
      <c r="C14" s="21" t="s">
        <v>65</v>
      </c>
      <c r="D14" s="21" t="s">
        <v>66</v>
      </c>
      <c r="E14" s="21" t="s">
        <v>67</v>
      </c>
      <c r="F14" s="21"/>
      <c r="G14" s="22" t="str">
        <f aca="false">IF(F14="","",IFERROR(IF(INDEX(Listes!$D$4:$D$10,MATCH(F14,Listes!$C$4:$C$10,0))="","",INDEX(Listes!$D$4:$D$10,MATCH(F14,Listes!$C$4:$C$10,0))),""))</f>
        <v/>
      </c>
      <c r="H14" s="21"/>
      <c r="I14" s="23"/>
      <c r="J14" s="24" t="str">
        <f aca="false">IF($C14="","",IFERROR(IF(SUMPRODUCT(MAX((Registre!$C$11:$C$50=$A14)*Registre!$B$11:$B$50))=0,"",SUMPRODUCT(MAX((Registre!$C$11:$C$50=$A14)*Registre!$B$11:$B$50))),""))</f>
        <v/>
      </c>
      <c r="K14" s="24" t="str">
        <f aca="false">IF(OR($C14="",G14=""),"",IF(J14&lt;&gt;"",J14+G14,IF(I14&lt;&gt;"",I14,"")))</f>
        <v/>
      </c>
      <c r="L14" s="25" t="str">
        <f aca="false">IF($C14="","",IF($F14="","Fréquence à choisir",IF(G14="","Au fil de l’eau",IF(K14="","Premier passage à planifier",IF(K14&lt;$D$4,"En retard",IF(K14&lt;=$D$4+$D$6,"Passage proche","À jour"))))))</f>
        <v>Fréquence à choisir</v>
      </c>
      <c r="M14" s="25" t="str">
        <f aca="false">IF($C14="","",IF(COUNTIFS(Registre!$C$11:$C$50,$A14,Registre!$B$11:$B$50,"&gt;="&amp;M$10,Registre!$B$11:$B$50,"&lt;"&amp;EDATE(M$10,1))&gt;0,COUNTIFS(Registre!$C$11:$C$50,$A14,Registre!$B$11:$B$50,"&gt;="&amp;M$10,Registre!$B$11:$B$50,"&lt;"&amp;EDATE(M$10,1)),IF(AND($K14&lt;&gt;"",$K14&gt;=M$10,$K14&lt;EDATE(M$10,1)),"prévu","")))</f>
        <v/>
      </c>
      <c r="N14" s="25" t="str">
        <f aca="false">IF($C14="","",IF(COUNTIFS(Registre!$C$11:$C$50,$A14,Registre!$B$11:$B$50,"&gt;="&amp;N$10,Registre!$B$11:$B$50,"&lt;"&amp;EDATE(N$10,1))&gt;0,COUNTIFS(Registre!$C$11:$C$50,$A14,Registre!$B$11:$B$50,"&gt;="&amp;N$10,Registre!$B$11:$B$50,"&lt;"&amp;EDATE(N$10,1)),IF(AND($K14&lt;&gt;"",$K14&gt;=N$10,$K14&lt;EDATE(N$10,1)),"prévu","")))</f>
        <v/>
      </c>
      <c r="O14" s="25" t="str">
        <f aca="false">IF($C14="","",IF(COUNTIFS(Registre!$C$11:$C$50,$A14,Registre!$B$11:$B$50,"&gt;="&amp;O$10,Registre!$B$11:$B$50,"&lt;"&amp;EDATE(O$10,1))&gt;0,COUNTIFS(Registre!$C$11:$C$50,$A14,Registre!$B$11:$B$50,"&gt;="&amp;O$10,Registre!$B$11:$B$50,"&lt;"&amp;EDATE(O$10,1)),IF(AND($K14&lt;&gt;"",$K14&gt;=O$10,$K14&lt;EDATE(O$10,1)),"prévu","")))</f>
        <v/>
      </c>
      <c r="P14" s="25" t="str">
        <f aca="false">IF($C14="","",IF(COUNTIFS(Registre!$C$11:$C$50,$A14,Registre!$B$11:$B$50,"&gt;="&amp;P$10,Registre!$B$11:$B$50,"&lt;"&amp;EDATE(P$10,1))&gt;0,COUNTIFS(Registre!$C$11:$C$50,$A14,Registre!$B$11:$B$50,"&gt;="&amp;P$10,Registre!$B$11:$B$50,"&lt;"&amp;EDATE(P$10,1)),IF(AND($K14&lt;&gt;"",$K14&gt;=P$10,$K14&lt;EDATE(P$10,1)),"prévu","")))</f>
        <v/>
      </c>
      <c r="Q14" s="25" t="str">
        <f aca="false">IF($C14="","",IF(COUNTIFS(Registre!$C$11:$C$50,$A14,Registre!$B$11:$B$50,"&gt;="&amp;Q$10,Registre!$B$11:$B$50,"&lt;"&amp;EDATE(Q$10,1))&gt;0,COUNTIFS(Registre!$C$11:$C$50,$A14,Registre!$B$11:$B$50,"&gt;="&amp;Q$10,Registre!$B$11:$B$50,"&lt;"&amp;EDATE(Q$10,1)),IF(AND($K14&lt;&gt;"",$K14&gt;=Q$10,$K14&lt;EDATE(Q$10,1)),"prévu","")))</f>
        <v/>
      </c>
      <c r="R14" s="25" t="str">
        <f aca="false">IF($C14="","",IF(COUNTIFS(Registre!$C$11:$C$50,$A14,Registre!$B$11:$B$50,"&gt;="&amp;R$10,Registre!$B$11:$B$50,"&lt;"&amp;EDATE(R$10,1))&gt;0,COUNTIFS(Registre!$C$11:$C$50,$A14,Registre!$B$11:$B$50,"&gt;="&amp;R$10,Registre!$B$11:$B$50,"&lt;"&amp;EDATE(R$10,1)),IF(AND($K14&lt;&gt;"",$K14&gt;=R$10,$K14&lt;EDATE(R$10,1)),"prévu","")))</f>
        <v/>
      </c>
      <c r="S14" s="25" t="str">
        <f aca="false">IF($C14="","",IF(COUNTIFS(Registre!$C$11:$C$50,$A14,Registre!$B$11:$B$50,"&gt;="&amp;S$10,Registre!$B$11:$B$50,"&lt;"&amp;EDATE(S$10,1))&gt;0,COUNTIFS(Registre!$C$11:$C$50,$A14,Registre!$B$11:$B$50,"&gt;="&amp;S$10,Registre!$B$11:$B$50,"&lt;"&amp;EDATE(S$10,1)),IF(AND($K14&lt;&gt;"",$K14&gt;=S$10,$K14&lt;EDATE(S$10,1)),"prévu","")))</f>
        <v/>
      </c>
      <c r="T14" s="25" t="str">
        <f aca="false">IF($C14="","",IF(COUNTIFS(Registre!$C$11:$C$50,$A14,Registre!$B$11:$B$50,"&gt;="&amp;T$10,Registre!$B$11:$B$50,"&lt;"&amp;EDATE(T$10,1))&gt;0,COUNTIFS(Registre!$C$11:$C$50,$A14,Registre!$B$11:$B$50,"&gt;="&amp;T$10,Registre!$B$11:$B$50,"&lt;"&amp;EDATE(T$10,1)),IF(AND($K14&lt;&gt;"",$K14&gt;=T$10,$K14&lt;EDATE(T$10,1)),"prévu","")))</f>
        <v/>
      </c>
      <c r="U14" s="25" t="str">
        <f aca="false">IF($C14="","",IF(COUNTIFS(Registre!$C$11:$C$50,$A14,Registre!$B$11:$B$50,"&gt;="&amp;U$10,Registre!$B$11:$B$50,"&lt;"&amp;EDATE(U$10,1))&gt;0,COUNTIFS(Registre!$C$11:$C$50,$A14,Registre!$B$11:$B$50,"&gt;="&amp;U$10,Registre!$B$11:$B$50,"&lt;"&amp;EDATE(U$10,1)),IF(AND($K14&lt;&gt;"",$K14&gt;=U$10,$K14&lt;EDATE(U$10,1)),"prévu","")))</f>
        <v/>
      </c>
      <c r="V14" s="25" t="str">
        <f aca="false">IF($C14="","",IF(COUNTIFS(Registre!$C$11:$C$50,$A14,Registre!$B$11:$B$50,"&gt;="&amp;V$10,Registre!$B$11:$B$50,"&lt;"&amp;EDATE(V$10,1))&gt;0,COUNTIFS(Registre!$C$11:$C$50,$A14,Registre!$B$11:$B$50,"&gt;="&amp;V$10,Registre!$B$11:$B$50,"&lt;"&amp;EDATE(V$10,1)),IF(AND($K14&lt;&gt;"",$K14&gt;=V$10,$K14&lt;EDATE(V$10,1)),"prévu","")))</f>
        <v/>
      </c>
      <c r="W14" s="25" t="str">
        <f aca="false">IF($C14="","",IF(COUNTIFS(Registre!$C$11:$C$50,$A14,Registre!$B$11:$B$50,"&gt;="&amp;W$10,Registre!$B$11:$B$50,"&lt;"&amp;EDATE(W$10,1))&gt;0,COUNTIFS(Registre!$C$11:$C$50,$A14,Registre!$B$11:$B$50,"&gt;="&amp;W$10,Registre!$B$11:$B$50,"&lt;"&amp;EDATE(W$10,1)),IF(AND($K14&lt;&gt;"",$K14&gt;=W$10,$K14&lt;EDATE(W$10,1)),"prévu","")))</f>
        <v/>
      </c>
      <c r="X14" s="25" t="str">
        <f aca="false">IF($C14="","",IF(COUNTIFS(Registre!$C$11:$C$50,$A14,Registre!$B$11:$B$50,"&gt;="&amp;X$10,Registre!$B$11:$B$50,"&lt;"&amp;EDATE(X$10,1))&gt;0,COUNTIFS(Registre!$C$11:$C$50,$A14,Registre!$B$11:$B$50,"&gt;="&amp;X$10,Registre!$B$11:$B$50,"&lt;"&amp;EDATE(X$10,1)),IF(AND($K14&lt;&gt;"",$K14&gt;=X$10,$K14&lt;EDATE(X$10,1)),"prévu","")))</f>
        <v/>
      </c>
    </row>
    <row r="15" customFormat="false" ht="45" hidden="false" customHeight="true" outlineLevel="0" collapsed="false">
      <c r="A15" s="20" t="n">
        <v>5</v>
      </c>
      <c r="B15" s="21" t="s">
        <v>68</v>
      </c>
      <c r="C15" s="21" t="s">
        <v>69</v>
      </c>
      <c r="D15" s="21" t="s">
        <v>70</v>
      </c>
      <c r="E15" s="21" t="s">
        <v>71</v>
      </c>
      <c r="F15" s="21"/>
      <c r="G15" s="22" t="str">
        <f aca="false">IF(F15="","",IFERROR(IF(INDEX(Listes!$D$4:$D$10,MATCH(F15,Listes!$C$4:$C$10,0))="","",INDEX(Listes!$D$4:$D$10,MATCH(F15,Listes!$C$4:$C$10,0))),""))</f>
        <v/>
      </c>
      <c r="H15" s="21"/>
      <c r="I15" s="23"/>
      <c r="J15" s="24" t="str">
        <f aca="false">IF($C15="","",IFERROR(IF(SUMPRODUCT(MAX((Registre!$C$11:$C$50=$A15)*Registre!$B$11:$B$50))=0,"",SUMPRODUCT(MAX((Registre!$C$11:$C$50=$A15)*Registre!$B$11:$B$50))),""))</f>
        <v/>
      </c>
      <c r="K15" s="24" t="str">
        <f aca="false">IF(OR($C15="",G15=""),"",IF(J15&lt;&gt;"",J15+G15,IF(I15&lt;&gt;"",I15,"")))</f>
        <v/>
      </c>
      <c r="L15" s="25" t="str">
        <f aca="false">IF($C15="","",IF($F15="","Fréquence à choisir",IF(G15="","Au fil de l’eau",IF(K15="","Premier passage à planifier",IF(K15&lt;$D$4,"En retard",IF(K15&lt;=$D$4+$D$6,"Passage proche","À jour"))))))</f>
        <v>Fréquence à choisir</v>
      </c>
      <c r="M15" s="25" t="str">
        <f aca="false">IF($C15="","",IF(COUNTIFS(Registre!$C$11:$C$50,$A15,Registre!$B$11:$B$50,"&gt;="&amp;M$10,Registre!$B$11:$B$50,"&lt;"&amp;EDATE(M$10,1))&gt;0,COUNTIFS(Registre!$C$11:$C$50,$A15,Registre!$B$11:$B$50,"&gt;="&amp;M$10,Registre!$B$11:$B$50,"&lt;"&amp;EDATE(M$10,1)),IF(AND($K15&lt;&gt;"",$K15&gt;=M$10,$K15&lt;EDATE(M$10,1)),"prévu","")))</f>
        <v/>
      </c>
      <c r="N15" s="25" t="str">
        <f aca="false">IF($C15="","",IF(COUNTIFS(Registre!$C$11:$C$50,$A15,Registre!$B$11:$B$50,"&gt;="&amp;N$10,Registre!$B$11:$B$50,"&lt;"&amp;EDATE(N$10,1))&gt;0,COUNTIFS(Registre!$C$11:$C$50,$A15,Registre!$B$11:$B$50,"&gt;="&amp;N$10,Registre!$B$11:$B$50,"&lt;"&amp;EDATE(N$10,1)),IF(AND($K15&lt;&gt;"",$K15&gt;=N$10,$K15&lt;EDATE(N$10,1)),"prévu","")))</f>
        <v/>
      </c>
      <c r="O15" s="25" t="str">
        <f aca="false">IF($C15="","",IF(COUNTIFS(Registre!$C$11:$C$50,$A15,Registre!$B$11:$B$50,"&gt;="&amp;O$10,Registre!$B$11:$B$50,"&lt;"&amp;EDATE(O$10,1))&gt;0,COUNTIFS(Registre!$C$11:$C$50,$A15,Registre!$B$11:$B$50,"&gt;="&amp;O$10,Registre!$B$11:$B$50,"&lt;"&amp;EDATE(O$10,1)),IF(AND($K15&lt;&gt;"",$K15&gt;=O$10,$K15&lt;EDATE(O$10,1)),"prévu","")))</f>
        <v/>
      </c>
      <c r="P15" s="25" t="str">
        <f aca="false">IF($C15="","",IF(COUNTIFS(Registre!$C$11:$C$50,$A15,Registre!$B$11:$B$50,"&gt;="&amp;P$10,Registre!$B$11:$B$50,"&lt;"&amp;EDATE(P$10,1))&gt;0,COUNTIFS(Registre!$C$11:$C$50,$A15,Registre!$B$11:$B$50,"&gt;="&amp;P$10,Registre!$B$11:$B$50,"&lt;"&amp;EDATE(P$10,1)),IF(AND($K15&lt;&gt;"",$K15&gt;=P$10,$K15&lt;EDATE(P$10,1)),"prévu","")))</f>
        <v/>
      </c>
      <c r="Q15" s="25" t="str">
        <f aca="false">IF($C15="","",IF(COUNTIFS(Registre!$C$11:$C$50,$A15,Registre!$B$11:$B$50,"&gt;="&amp;Q$10,Registre!$B$11:$B$50,"&lt;"&amp;EDATE(Q$10,1))&gt;0,COUNTIFS(Registre!$C$11:$C$50,$A15,Registre!$B$11:$B$50,"&gt;="&amp;Q$10,Registre!$B$11:$B$50,"&lt;"&amp;EDATE(Q$10,1)),IF(AND($K15&lt;&gt;"",$K15&gt;=Q$10,$K15&lt;EDATE(Q$10,1)),"prévu","")))</f>
        <v/>
      </c>
      <c r="R15" s="25" t="str">
        <f aca="false">IF($C15="","",IF(COUNTIFS(Registre!$C$11:$C$50,$A15,Registre!$B$11:$B$50,"&gt;="&amp;R$10,Registre!$B$11:$B$50,"&lt;"&amp;EDATE(R$10,1))&gt;0,COUNTIFS(Registre!$C$11:$C$50,$A15,Registre!$B$11:$B$50,"&gt;="&amp;R$10,Registre!$B$11:$B$50,"&lt;"&amp;EDATE(R$10,1)),IF(AND($K15&lt;&gt;"",$K15&gt;=R$10,$K15&lt;EDATE(R$10,1)),"prévu","")))</f>
        <v/>
      </c>
      <c r="S15" s="25" t="str">
        <f aca="false">IF($C15="","",IF(COUNTIFS(Registre!$C$11:$C$50,$A15,Registre!$B$11:$B$50,"&gt;="&amp;S$10,Registre!$B$11:$B$50,"&lt;"&amp;EDATE(S$10,1))&gt;0,COUNTIFS(Registre!$C$11:$C$50,$A15,Registre!$B$11:$B$50,"&gt;="&amp;S$10,Registre!$B$11:$B$50,"&lt;"&amp;EDATE(S$10,1)),IF(AND($K15&lt;&gt;"",$K15&gt;=S$10,$K15&lt;EDATE(S$10,1)),"prévu","")))</f>
        <v/>
      </c>
      <c r="T15" s="25" t="str">
        <f aca="false">IF($C15="","",IF(COUNTIFS(Registre!$C$11:$C$50,$A15,Registre!$B$11:$B$50,"&gt;="&amp;T$10,Registre!$B$11:$B$50,"&lt;"&amp;EDATE(T$10,1))&gt;0,COUNTIFS(Registre!$C$11:$C$50,$A15,Registre!$B$11:$B$50,"&gt;="&amp;T$10,Registre!$B$11:$B$50,"&lt;"&amp;EDATE(T$10,1)),IF(AND($K15&lt;&gt;"",$K15&gt;=T$10,$K15&lt;EDATE(T$10,1)),"prévu","")))</f>
        <v/>
      </c>
      <c r="U15" s="25" t="str">
        <f aca="false">IF($C15="","",IF(COUNTIFS(Registre!$C$11:$C$50,$A15,Registre!$B$11:$B$50,"&gt;="&amp;U$10,Registre!$B$11:$B$50,"&lt;"&amp;EDATE(U$10,1))&gt;0,COUNTIFS(Registre!$C$11:$C$50,$A15,Registre!$B$11:$B$50,"&gt;="&amp;U$10,Registre!$B$11:$B$50,"&lt;"&amp;EDATE(U$10,1)),IF(AND($K15&lt;&gt;"",$K15&gt;=U$10,$K15&lt;EDATE(U$10,1)),"prévu","")))</f>
        <v/>
      </c>
      <c r="V15" s="25" t="str">
        <f aca="false">IF($C15="","",IF(COUNTIFS(Registre!$C$11:$C$50,$A15,Registre!$B$11:$B$50,"&gt;="&amp;V$10,Registre!$B$11:$B$50,"&lt;"&amp;EDATE(V$10,1))&gt;0,COUNTIFS(Registre!$C$11:$C$50,$A15,Registre!$B$11:$B$50,"&gt;="&amp;V$10,Registre!$B$11:$B$50,"&lt;"&amp;EDATE(V$10,1)),IF(AND($K15&lt;&gt;"",$K15&gt;=V$10,$K15&lt;EDATE(V$10,1)),"prévu","")))</f>
        <v/>
      </c>
      <c r="W15" s="25" t="str">
        <f aca="false">IF($C15="","",IF(COUNTIFS(Registre!$C$11:$C$50,$A15,Registre!$B$11:$B$50,"&gt;="&amp;W$10,Registre!$B$11:$B$50,"&lt;"&amp;EDATE(W$10,1))&gt;0,COUNTIFS(Registre!$C$11:$C$50,$A15,Registre!$B$11:$B$50,"&gt;="&amp;W$10,Registre!$B$11:$B$50,"&lt;"&amp;EDATE(W$10,1)),IF(AND($K15&lt;&gt;"",$K15&gt;=W$10,$K15&lt;EDATE(W$10,1)),"prévu","")))</f>
        <v/>
      </c>
      <c r="X15" s="25" t="str">
        <f aca="false">IF($C15="","",IF(COUNTIFS(Registre!$C$11:$C$50,$A15,Registre!$B$11:$B$50,"&gt;="&amp;X$10,Registre!$B$11:$B$50,"&lt;"&amp;EDATE(X$10,1))&gt;0,COUNTIFS(Registre!$C$11:$C$50,$A15,Registre!$B$11:$B$50,"&gt;="&amp;X$10,Registre!$B$11:$B$50,"&lt;"&amp;EDATE(X$10,1)),IF(AND($K15&lt;&gt;"",$K15&gt;=X$10,$K15&lt;EDATE(X$10,1)),"prévu","")))</f>
        <v/>
      </c>
    </row>
    <row r="16" customFormat="false" ht="31.5" hidden="false" customHeight="true" outlineLevel="0" collapsed="false">
      <c r="A16" s="20" t="n">
        <v>6</v>
      </c>
      <c r="B16" s="21" t="s">
        <v>68</v>
      </c>
      <c r="C16" s="21" t="s">
        <v>72</v>
      </c>
      <c r="D16" s="21" t="s">
        <v>73</v>
      </c>
      <c r="E16" s="21" t="s">
        <v>74</v>
      </c>
      <c r="F16" s="21"/>
      <c r="G16" s="22" t="str">
        <f aca="false">IF(F16="","",IFERROR(IF(INDEX(Listes!$D$4:$D$10,MATCH(F16,Listes!$C$4:$C$10,0))="","",INDEX(Listes!$D$4:$D$10,MATCH(F16,Listes!$C$4:$C$10,0))),""))</f>
        <v/>
      </c>
      <c r="H16" s="21"/>
      <c r="I16" s="23"/>
      <c r="J16" s="24" t="str">
        <f aca="false">IF($C16="","",IFERROR(IF(SUMPRODUCT(MAX((Registre!$C$11:$C$50=$A16)*Registre!$B$11:$B$50))=0,"",SUMPRODUCT(MAX((Registre!$C$11:$C$50=$A16)*Registre!$B$11:$B$50))),""))</f>
        <v/>
      </c>
      <c r="K16" s="24" t="str">
        <f aca="false">IF(OR($C16="",G16=""),"",IF(J16&lt;&gt;"",J16+G16,IF(I16&lt;&gt;"",I16,"")))</f>
        <v/>
      </c>
      <c r="L16" s="25" t="str">
        <f aca="false">IF($C16="","",IF($F16="","Fréquence à choisir",IF(G16="","Au fil de l’eau",IF(K16="","Premier passage à planifier",IF(K16&lt;$D$4,"En retard",IF(K16&lt;=$D$4+$D$6,"Passage proche","À jour"))))))</f>
        <v>Fréquence à choisir</v>
      </c>
      <c r="M16" s="25" t="str">
        <f aca="false">IF($C16="","",IF(COUNTIFS(Registre!$C$11:$C$50,$A16,Registre!$B$11:$B$50,"&gt;="&amp;M$10,Registre!$B$11:$B$50,"&lt;"&amp;EDATE(M$10,1))&gt;0,COUNTIFS(Registre!$C$11:$C$50,$A16,Registre!$B$11:$B$50,"&gt;="&amp;M$10,Registre!$B$11:$B$50,"&lt;"&amp;EDATE(M$10,1)),IF(AND($K16&lt;&gt;"",$K16&gt;=M$10,$K16&lt;EDATE(M$10,1)),"prévu","")))</f>
        <v/>
      </c>
      <c r="N16" s="25" t="str">
        <f aca="false">IF($C16="","",IF(COUNTIFS(Registre!$C$11:$C$50,$A16,Registre!$B$11:$B$50,"&gt;="&amp;N$10,Registre!$B$11:$B$50,"&lt;"&amp;EDATE(N$10,1))&gt;0,COUNTIFS(Registre!$C$11:$C$50,$A16,Registre!$B$11:$B$50,"&gt;="&amp;N$10,Registre!$B$11:$B$50,"&lt;"&amp;EDATE(N$10,1)),IF(AND($K16&lt;&gt;"",$K16&gt;=N$10,$K16&lt;EDATE(N$10,1)),"prévu","")))</f>
        <v/>
      </c>
      <c r="O16" s="25" t="str">
        <f aca="false">IF($C16="","",IF(COUNTIFS(Registre!$C$11:$C$50,$A16,Registre!$B$11:$B$50,"&gt;="&amp;O$10,Registre!$B$11:$B$50,"&lt;"&amp;EDATE(O$10,1))&gt;0,COUNTIFS(Registre!$C$11:$C$50,$A16,Registre!$B$11:$B$50,"&gt;="&amp;O$10,Registre!$B$11:$B$50,"&lt;"&amp;EDATE(O$10,1)),IF(AND($K16&lt;&gt;"",$K16&gt;=O$10,$K16&lt;EDATE(O$10,1)),"prévu","")))</f>
        <v/>
      </c>
      <c r="P16" s="25" t="str">
        <f aca="false">IF($C16="","",IF(COUNTIFS(Registre!$C$11:$C$50,$A16,Registre!$B$11:$B$50,"&gt;="&amp;P$10,Registre!$B$11:$B$50,"&lt;"&amp;EDATE(P$10,1))&gt;0,COUNTIFS(Registre!$C$11:$C$50,$A16,Registre!$B$11:$B$50,"&gt;="&amp;P$10,Registre!$B$11:$B$50,"&lt;"&amp;EDATE(P$10,1)),IF(AND($K16&lt;&gt;"",$K16&gt;=P$10,$K16&lt;EDATE(P$10,1)),"prévu","")))</f>
        <v/>
      </c>
      <c r="Q16" s="25" t="str">
        <f aca="false">IF($C16="","",IF(COUNTIFS(Registre!$C$11:$C$50,$A16,Registre!$B$11:$B$50,"&gt;="&amp;Q$10,Registre!$B$11:$B$50,"&lt;"&amp;EDATE(Q$10,1))&gt;0,COUNTIFS(Registre!$C$11:$C$50,$A16,Registre!$B$11:$B$50,"&gt;="&amp;Q$10,Registre!$B$11:$B$50,"&lt;"&amp;EDATE(Q$10,1)),IF(AND($K16&lt;&gt;"",$K16&gt;=Q$10,$K16&lt;EDATE(Q$10,1)),"prévu","")))</f>
        <v/>
      </c>
      <c r="R16" s="25" t="str">
        <f aca="false">IF($C16="","",IF(COUNTIFS(Registre!$C$11:$C$50,$A16,Registre!$B$11:$B$50,"&gt;="&amp;R$10,Registre!$B$11:$B$50,"&lt;"&amp;EDATE(R$10,1))&gt;0,COUNTIFS(Registre!$C$11:$C$50,$A16,Registre!$B$11:$B$50,"&gt;="&amp;R$10,Registre!$B$11:$B$50,"&lt;"&amp;EDATE(R$10,1)),IF(AND($K16&lt;&gt;"",$K16&gt;=R$10,$K16&lt;EDATE(R$10,1)),"prévu","")))</f>
        <v/>
      </c>
      <c r="S16" s="25" t="str">
        <f aca="false">IF($C16="","",IF(COUNTIFS(Registre!$C$11:$C$50,$A16,Registre!$B$11:$B$50,"&gt;="&amp;S$10,Registre!$B$11:$B$50,"&lt;"&amp;EDATE(S$10,1))&gt;0,COUNTIFS(Registre!$C$11:$C$50,$A16,Registre!$B$11:$B$50,"&gt;="&amp;S$10,Registre!$B$11:$B$50,"&lt;"&amp;EDATE(S$10,1)),IF(AND($K16&lt;&gt;"",$K16&gt;=S$10,$K16&lt;EDATE(S$10,1)),"prévu","")))</f>
        <v/>
      </c>
      <c r="T16" s="25" t="str">
        <f aca="false">IF($C16="","",IF(COUNTIFS(Registre!$C$11:$C$50,$A16,Registre!$B$11:$B$50,"&gt;="&amp;T$10,Registre!$B$11:$B$50,"&lt;"&amp;EDATE(T$10,1))&gt;0,COUNTIFS(Registre!$C$11:$C$50,$A16,Registre!$B$11:$B$50,"&gt;="&amp;T$10,Registre!$B$11:$B$50,"&lt;"&amp;EDATE(T$10,1)),IF(AND($K16&lt;&gt;"",$K16&gt;=T$10,$K16&lt;EDATE(T$10,1)),"prévu","")))</f>
        <v/>
      </c>
      <c r="U16" s="25" t="str">
        <f aca="false">IF($C16="","",IF(COUNTIFS(Registre!$C$11:$C$50,$A16,Registre!$B$11:$B$50,"&gt;="&amp;U$10,Registre!$B$11:$B$50,"&lt;"&amp;EDATE(U$10,1))&gt;0,COUNTIFS(Registre!$C$11:$C$50,$A16,Registre!$B$11:$B$50,"&gt;="&amp;U$10,Registre!$B$11:$B$50,"&lt;"&amp;EDATE(U$10,1)),IF(AND($K16&lt;&gt;"",$K16&gt;=U$10,$K16&lt;EDATE(U$10,1)),"prévu","")))</f>
        <v/>
      </c>
      <c r="V16" s="25" t="str">
        <f aca="false">IF($C16="","",IF(COUNTIFS(Registre!$C$11:$C$50,$A16,Registre!$B$11:$B$50,"&gt;="&amp;V$10,Registre!$B$11:$B$50,"&lt;"&amp;EDATE(V$10,1))&gt;0,COUNTIFS(Registre!$C$11:$C$50,$A16,Registre!$B$11:$B$50,"&gt;="&amp;V$10,Registre!$B$11:$B$50,"&lt;"&amp;EDATE(V$10,1)),IF(AND($K16&lt;&gt;"",$K16&gt;=V$10,$K16&lt;EDATE(V$10,1)),"prévu","")))</f>
        <v/>
      </c>
      <c r="W16" s="25" t="str">
        <f aca="false">IF($C16="","",IF(COUNTIFS(Registre!$C$11:$C$50,$A16,Registre!$B$11:$B$50,"&gt;="&amp;W$10,Registre!$B$11:$B$50,"&lt;"&amp;EDATE(W$10,1))&gt;0,COUNTIFS(Registre!$C$11:$C$50,$A16,Registre!$B$11:$B$50,"&gt;="&amp;W$10,Registre!$B$11:$B$50,"&lt;"&amp;EDATE(W$10,1)),IF(AND($K16&lt;&gt;"",$K16&gt;=W$10,$K16&lt;EDATE(W$10,1)),"prévu","")))</f>
        <v/>
      </c>
      <c r="X16" s="25" t="str">
        <f aca="false">IF($C16="","",IF(COUNTIFS(Registre!$C$11:$C$50,$A16,Registre!$B$11:$B$50,"&gt;="&amp;X$10,Registre!$B$11:$B$50,"&lt;"&amp;EDATE(X$10,1))&gt;0,COUNTIFS(Registre!$C$11:$C$50,$A16,Registre!$B$11:$B$50,"&gt;="&amp;X$10,Registre!$B$11:$B$50,"&lt;"&amp;EDATE(X$10,1)),IF(AND($K16&lt;&gt;"",$K16&gt;=X$10,$K16&lt;EDATE(X$10,1)),"prévu","")))</f>
        <v/>
      </c>
    </row>
    <row r="17" customFormat="false" ht="45" hidden="false" customHeight="true" outlineLevel="0" collapsed="false">
      <c r="A17" s="20" t="n">
        <v>7</v>
      </c>
      <c r="B17" s="21" t="s">
        <v>68</v>
      </c>
      <c r="C17" s="21" t="s">
        <v>75</v>
      </c>
      <c r="D17" s="21" t="s">
        <v>76</v>
      </c>
      <c r="E17" s="21" t="s">
        <v>77</v>
      </c>
      <c r="F17" s="21"/>
      <c r="G17" s="22" t="str">
        <f aca="false">IF(F17="","",IFERROR(IF(INDEX(Listes!$D$4:$D$10,MATCH(F17,Listes!$C$4:$C$10,0))="","",INDEX(Listes!$D$4:$D$10,MATCH(F17,Listes!$C$4:$C$10,0))),""))</f>
        <v/>
      </c>
      <c r="H17" s="21"/>
      <c r="I17" s="23"/>
      <c r="J17" s="24" t="str">
        <f aca="false">IF($C17="","",IFERROR(IF(SUMPRODUCT(MAX((Registre!$C$11:$C$50=$A17)*Registre!$B$11:$B$50))=0,"",SUMPRODUCT(MAX((Registre!$C$11:$C$50=$A17)*Registre!$B$11:$B$50))),""))</f>
        <v/>
      </c>
      <c r="K17" s="24" t="str">
        <f aca="false">IF(OR($C17="",G17=""),"",IF(J17&lt;&gt;"",J17+G17,IF(I17&lt;&gt;"",I17,"")))</f>
        <v/>
      </c>
      <c r="L17" s="25" t="str">
        <f aca="false">IF($C17="","",IF($F17="","Fréquence à choisir",IF(G17="","Au fil de l’eau",IF(K17="","Premier passage à planifier",IF(K17&lt;$D$4,"En retard",IF(K17&lt;=$D$4+$D$6,"Passage proche","À jour"))))))</f>
        <v>Fréquence à choisir</v>
      </c>
      <c r="M17" s="25" t="str">
        <f aca="false">IF($C17="","",IF(COUNTIFS(Registre!$C$11:$C$50,$A17,Registre!$B$11:$B$50,"&gt;="&amp;M$10,Registre!$B$11:$B$50,"&lt;"&amp;EDATE(M$10,1))&gt;0,COUNTIFS(Registre!$C$11:$C$50,$A17,Registre!$B$11:$B$50,"&gt;="&amp;M$10,Registre!$B$11:$B$50,"&lt;"&amp;EDATE(M$10,1)),IF(AND($K17&lt;&gt;"",$K17&gt;=M$10,$K17&lt;EDATE(M$10,1)),"prévu","")))</f>
        <v/>
      </c>
      <c r="N17" s="25" t="str">
        <f aca="false">IF($C17="","",IF(COUNTIFS(Registre!$C$11:$C$50,$A17,Registre!$B$11:$B$50,"&gt;="&amp;N$10,Registre!$B$11:$B$50,"&lt;"&amp;EDATE(N$10,1))&gt;0,COUNTIFS(Registre!$C$11:$C$50,$A17,Registre!$B$11:$B$50,"&gt;="&amp;N$10,Registre!$B$11:$B$50,"&lt;"&amp;EDATE(N$10,1)),IF(AND($K17&lt;&gt;"",$K17&gt;=N$10,$K17&lt;EDATE(N$10,1)),"prévu","")))</f>
        <v/>
      </c>
      <c r="O17" s="25" t="str">
        <f aca="false">IF($C17="","",IF(COUNTIFS(Registre!$C$11:$C$50,$A17,Registre!$B$11:$B$50,"&gt;="&amp;O$10,Registre!$B$11:$B$50,"&lt;"&amp;EDATE(O$10,1))&gt;0,COUNTIFS(Registre!$C$11:$C$50,$A17,Registre!$B$11:$B$50,"&gt;="&amp;O$10,Registre!$B$11:$B$50,"&lt;"&amp;EDATE(O$10,1)),IF(AND($K17&lt;&gt;"",$K17&gt;=O$10,$K17&lt;EDATE(O$10,1)),"prévu","")))</f>
        <v/>
      </c>
      <c r="P17" s="25" t="str">
        <f aca="false">IF($C17="","",IF(COUNTIFS(Registre!$C$11:$C$50,$A17,Registre!$B$11:$B$50,"&gt;="&amp;P$10,Registre!$B$11:$B$50,"&lt;"&amp;EDATE(P$10,1))&gt;0,COUNTIFS(Registre!$C$11:$C$50,$A17,Registre!$B$11:$B$50,"&gt;="&amp;P$10,Registre!$B$11:$B$50,"&lt;"&amp;EDATE(P$10,1)),IF(AND($K17&lt;&gt;"",$K17&gt;=P$10,$K17&lt;EDATE(P$10,1)),"prévu","")))</f>
        <v/>
      </c>
      <c r="Q17" s="25" t="str">
        <f aca="false">IF($C17="","",IF(COUNTIFS(Registre!$C$11:$C$50,$A17,Registre!$B$11:$B$50,"&gt;="&amp;Q$10,Registre!$B$11:$B$50,"&lt;"&amp;EDATE(Q$10,1))&gt;0,COUNTIFS(Registre!$C$11:$C$50,$A17,Registre!$B$11:$B$50,"&gt;="&amp;Q$10,Registre!$B$11:$B$50,"&lt;"&amp;EDATE(Q$10,1)),IF(AND($K17&lt;&gt;"",$K17&gt;=Q$10,$K17&lt;EDATE(Q$10,1)),"prévu","")))</f>
        <v/>
      </c>
      <c r="R17" s="25" t="str">
        <f aca="false">IF($C17="","",IF(COUNTIFS(Registre!$C$11:$C$50,$A17,Registre!$B$11:$B$50,"&gt;="&amp;R$10,Registre!$B$11:$B$50,"&lt;"&amp;EDATE(R$10,1))&gt;0,COUNTIFS(Registre!$C$11:$C$50,$A17,Registre!$B$11:$B$50,"&gt;="&amp;R$10,Registre!$B$11:$B$50,"&lt;"&amp;EDATE(R$10,1)),IF(AND($K17&lt;&gt;"",$K17&gt;=R$10,$K17&lt;EDATE(R$10,1)),"prévu","")))</f>
        <v/>
      </c>
      <c r="S17" s="25" t="str">
        <f aca="false">IF($C17="","",IF(COUNTIFS(Registre!$C$11:$C$50,$A17,Registre!$B$11:$B$50,"&gt;="&amp;S$10,Registre!$B$11:$B$50,"&lt;"&amp;EDATE(S$10,1))&gt;0,COUNTIFS(Registre!$C$11:$C$50,$A17,Registre!$B$11:$B$50,"&gt;="&amp;S$10,Registre!$B$11:$B$50,"&lt;"&amp;EDATE(S$10,1)),IF(AND($K17&lt;&gt;"",$K17&gt;=S$10,$K17&lt;EDATE(S$10,1)),"prévu","")))</f>
        <v/>
      </c>
      <c r="T17" s="25" t="str">
        <f aca="false">IF($C17="","",IF(COUNTIFS(Registre!$C$11:$C$50,$A17,Registre!$B$11:$B$50,"&gt;="&amp;T$10,Registre!$B$11:$B$50,"&lt;"&amp;EDATE(T$10,1))&gt;0,COUNTIFS(Registre!$C$11:$C$50,$A17,Registre!$B$11:$B$50,"&gt;="&amp;T$10,Registre!$B$11:$B$50,"&lt;"&amp;EDATE(T$10,1)),IF(AND($K17&lt;&gt;"",$K17&gt;=T$10,$K17&lt;EDATE(T$10,1)),"prévu","")))</f>
        <v/>
      </c>
      <c r="U17" s="25" t="str">
        <f aca="false">IF($C17="","",IF(COUNTIFS(Registre!$C$11:$C$50,$A17,Registre!$B$11:$B$50,"&gt;="&amp;U$10,Registre!$B$11:$B$50,"&lt;"&amp;EDATE(U$10,1))&gt;0,COUNTIFS(Registre!$C$11:$C$50,$A17,Registre!$B$11:$B$50,"&gt;="&amp;U$10,Registre!$B$11:$B$50,"&lt;"&amp;EDATE(U$10,1)),IF(AND($K17&lt;&gt;"",$K17&gt;=U$10,$K17&lt;EDATE(U$10,1)),"prévu","")))</f>
        <v/>
      </c>
      <c r="V17" s="25" t="str">
        <f aca="false">IF($C17="","",IF(COUNTIFS(Registre!$C$11:$C$50,$A17,Registre!$B$11:$B$50,"&gt;="&amp;V$10,Registre!$B$11:$B$50,"&lt;"&amp;EDATE(V$10,1))&gt;0,COUNTIFS(Registre!$C$11:$C$50,$A17,Registre!$B$11:$B$50,"&gt;="&amp;V$10,Registre!$B$11:$B$50,"&lt;"&amp;EDATE(V$10,1)),IF(AND($K17&lt;&gt;"",$K17&gt;=V$10,$K17&lt;EDATE(V$10,1)),"prévu","")))</f>
        <v/>
      </c>
      <c r="W17" s="25" t="str">
        <f aca="false">IF($C17="","",IF(COUNTIFS(Registre!$C$11:$C$50,$A17,Registre!$B$11:$B$50,"&gt;="&amp;W$10,Registre!$B$11:$B$50,"&lt;"&amp;EDATE(W$10,1))&gt;0,COUNTIFS(Registre!$C$11:$C$50,$A17,Registre!$B$11:$B$50,"&gt;="&amp;W$10,Registre!$B$11:$B$50,"&lt;"&amp;EDATE(W$10,1)),IF(AND($K17&lt;&gt;"",$K17&gt;=W$10,$K17&lt;EDATE(W$10,1)),"prévu","")))</f>
        <v/>
      </c>
      <c r="X17" s="25" t="str">
        <f aca="false">IF($C17="","",IF(COUNTIFS(Registre!$C$11:$C$50,$A17,Registre!$B$11:$B$50,"&gt;="&amp;X$10,Registre!$B$11:$B$50,"&lt;"&amp;EDATE(X$10,1))&gt;0,COUNTIFS(Registre!$C$11:$C$50,$A17,Registre!$B$11:$B$50,"&gt;="&amp;X$10,Registre!$B$11:$B$50,"&lt;"&amp;EDATE(X$10,1)),IF(AND($K17&lt;&gt;"",$K17&gt;=X$10,$K17&lt;EDATE(X$10,1)),"prévu","")))</f>
        <v/>
      </c>
    </row>
    <row r="18" customFormat="false" ht="45" hidden="false" customHeight="true" outlineLevel="0" collapsed="false">
      <c r="A18" s="20" t="n">
        <v>8</v>
      </c>
      <c r="B18" s="21" t="s">
        <v>78</v>
      </c>
      <c r="C18" s="21" t="s">
        <v>79</v>
      </c>
      <c r="D18" s="21" t="s">
        <v>79</v>
      </c>
      <c r="E18" s="21" t="s">
        <v>80</v>
      </c>
      <c r="F18" s="21"/>
      <c r="G18" s="22" t="str">
        <f aca="false">IF(F18="","",IFERROR(IF(INDEX(Listes!$D$4:$D$10,MATCH(F18,Listes!$C$4:$C$10,0))="","",INDEX(Listes!$D$4:$D$10,MATCH(F18,Listes!$C$4:$C$10,0))),""))</f>
        <v/>
      </c>
      <c r="H18" s="21"/>
      <c r="I18" s="23"/>
      <c r="J18" s="24" t="str">
        <f aca="false">IF($C18="","",IFERROR(IF(SUMPRODUCT(MAX((Registre!$C$11:$C$50=$A18)*Registre!$B$11:$B$50))=0,"",SUMPRODUCT(MAX((Registre!$C$11:$C$50=$A18)*Registre!$B$11:$B$50))),""))</f>
        <v/>
      </c>
      <c r="K18" s="24" t="str">
        <f aca="false">IF(OR($C18="",G18=""),"",IF(J18&lt;&gt;"",J18+G18,IF(I18&lt;&gt;"",I18,"")))</f>
        <v/>
      </c>
      <c r="L18" s="25" t="str">
        <f aca="false">IF($C18="","",IF($F18="","Fréquence à choisir",IF(G18="","Au fil de l’eau",IF(K18="","Premier passage à planifier",IF(K18&lt;$D$4,"En retard",IF(K18&lt;=$D$4+$D$6,"Passage proche","À jour"))))))</f>
        <v>Fréquence à choisir</v>
      </c>
      <c r="M18" s="25" t="str">
        <f aca="false">IF($C18="","",IF(COUNTIFS(Registre!$C$11:$C$50,$A18,Registre!$B$11:$B$50,"&gt;="&amp;M$10,Registre!$B$11:$B$50,"&lt;"&amp;EDATE(M$10,1))&gt;0,COUNTIFS(Registre!$C$11:$C$50,$A18,Registre!$B$11:$B$50,"&gt;="&amp;M$10,Registre!$B$11:$B$50,"&lt;"&amp;EDATE(M$10,1)),IF(AND($K18&lt;&gt;"",$K18&gt;=M$10,$K18&lt;EDATE(M$10,1)),"prévu","")))</f>
        <v/>
      </c>
      <c r="N18" s="25" t="str">
        <f aca="false">IF($C18="","",IF(COUNTIFS(Registre!$C$11:$C$50,$A18,Registre!$B$11:$B$50,"&gt;="&amp;N$10,Registre!$B$11:$B$50,"&lt;"&amp;EDATE(N$10,1))&gt;0,COUNTIFS(Registre!$C$11:$C$50,$A18,Registre!$B$11:$B$50,"&gt;="&amp;N$10,Registre!$B$11:$B$50,"&lt;"&amp;EDATE(N$10,1)),IF(AND($K18&lt;&gt;"",$K18&gt;=N$10,$K18&lt;EDATE(N$10,1)),"prévu","")))</f>
        <v/>
      </c>
      <c r="O18" s="25" t="str">
        <f aca="false">IF($C18="","",IF(COUNTIFS(Registre!$C$11:$C$50,$A18,Registre!$B$11:$B$50,"&gt;="&amp;O$10,Registre!$B$11:$B$50,"&lt;"&amp;EDATE(O$10,1))&gt;0,COUNTIFS(Registre!$C$11:$C$50,$A18,Registre!$B$11:$B$50,"&gt;="&amp;O$10,Registre!$B$11:$B$50,"&lt;"&amp;EDATE(O$10,1)),IF(AND($K18&lt;&gt;"",$K18&gt;=O$10,$K18&lt;EDATE(O$10,1)),"prévu","")))</f>
        <v/>
      </c>
      <c r="P18" s="25" t="str">
        <f aca="false">IF($C18="","",IF(COUNTIFS(Registre!$C$11:$C$50,$A18,Registre!$B$11:$B$50,"&gt;="&amp;P$10,Registre!$B$11:$B$50,"&lt;"&amp;EDATE(P$10,1))&gt;0,COUNTIFS(Registre!$C$11:$C$50,$A18,Registre!$B$11:$B$50,"&gt;="&amp;P$10,Registre!$B$11:$B$50,"&lt;"&amp;EDATE(P$10,1)),IF(AND($K18&lt;&gt;"",$K18&gt;=P$10,$K18&lt;EDATE(P$10,1)),"prévu","")))</f>
        <v/>
      </c>
      <c r="Q18" s="25" t="str">
        <f aca="false">IF($C18="","",IF(COUNTIFS(Registre!$C$11:$C$50,$A18,Registre!$B$11:$B$50,"&gt;="&amp;Q$10,Registre!$B$11:$B$50,"&lt;"&amp;EDATE(Q$10,1))&gt;0,COUNTIFS(Registre!$C$11:$C$50,$A18,Registre!$B$11:$B$50,"&gt;="&amp;Q$10,Registre!$B$11:$B$50,"&lt;"&amp;EDATE(Q$10,1)),IF(AND($K18&lt;&gt;"",$K18&gt;=Q$10,$K18&lt;EDATE(Q$10,1)),"prévu","")))</f>
        <v/>
      </c>
      <c r="R18" s="25" t="str">
        <f aca="false">IF($C18="","",IF(COUNTIFS(Registre!$C$11:$C$50,$A18,Registre!$B$11:$B$50,"&gt;="&amp;R$10,Registre!$B$11:$B$50,"&lt;"&amp;EDATE(R$10,1))&gt;0,COUNTIFS(Registre!$C$11:$C$50,$A18,Registre!$B$11:$B$50,"&gt;="&amp;R$10,Registre!$B$11:$B$50,"&lt;"&amp;EDATE(R$10,1)),IF(AND($K18&lt;&gt;"",$K18&gt;=R$10,$K18&lt;EDATE(R$10,1)),"prévu","")))</f>
        <v/>
      </c>
      <c r="S18" s="25" t="str">
        <f aca="false">IF($C18="","",IF(COUNTIFS(Registre!$C$11:$C$50,$A18,Registre!$B$11:$B$50,"&gt;="&amp;S$10,Registre!$B$11:$B$50,"&lt;"&amp;EDATE(S$10,1))&gt;0,COUNTIFS(Registre!$C$11:$C$50,$A18,Registre!$B$11:$B$50,"&gt;="&amp;S$10,Registre!$B$11:$B$50,"&lt;"&amp;EDATE(S$10,1)),IF(AND($K18&lt;&gt;"",$K18&gt;=S$10,$K18&lt;EDATE(S$10,1)),"prévu","")))</f>
        <v/>
      </c>
      <c r="T18" s="25" t="str">
        <f aca="false">IF($C18="","",IF(COUNTIFS(Registre!$C$11:$C$50,$A18,Registre!$B$11:$B$50,"&gt;="&amp;T$10,Registre!$B$11:$B$50,"&lt;"&amp;EDATE(T$10,1))&gt;0,COUNTIFS(Registre!$C$11:$C$50,$A18,Registre!$B$11:$B$50,"&gt;="&amp;T$10,Registre!$B$11:$B$50,"&lt;"&amp;EDATE(T$10,1)),IF(AND($K18&lt;&gt;"",$K18&gt;=T$10,$K18&lt;EDATE(T$10,1)),"prévu","")))</f>
        <v/>
      </c>
      <c r="U18" s="25" t="str">
        <f aca="false">IF($C18="","",IF(COUNTIFS(Registre!$C$11:$C$50,$A18,Registre!$B$11:$B$50,"&gt;="&amp;U$10,Registre!$B$11:$B$50,"&lt;"&amp;EDATE(U$10,1))&gt;0,COUNTIFS(Registre!$C$11:$C$50,$A18,Registre!$B$11:$B$50,"&gt;="&amp;U$10,Registre!$B$11:$B$50,"&lt;"&amp;EDATE(U$10,1)),IF(AND($K18&lt;&gt;"",$K18&gt;=U$10,$K18&lt;EDATE(U$10,1)),"prévu","")))</f>
        <v/>
      </c>
      <c r="V18" s="25" t="str">
        <f aca="false">IF($C18="","",IF(COUNTIFS(Registre!$C$11:$C$50,$A18,Registre!$B$11:$B$50,"&gt;="&amp;V$10,Registre!$B$11:$B$50,"&lt;"&amp;EDATE(V$10,1))&gt;0,COUNTIFS(Registre!$C$11:$C$50,$A18,Registre!$B$11:$B$50,"&gt;="&amp;V$10,Registre!$B$11:$B$50,"&lt;"&amp;EDATE(V$10,1)),IF(AND($K18&lt;&gt;"",$K18&gt;=V$10,$K18&lt;EDATE(V$10,1)),"prévu","")))</f>
        <v/>
      </c>
      <c r="W18" s="25" t="str">
        <f aca="false">IF($C18="","",IF(COUNTIFS(Registre!$C$11:$C$50,$A18,Registre!$B$11:$B$50,"&gt;="&amp;W$10,Registre!$B$11:$B$50,"&lt;"&amp;EDATE(W$10,1))&gt;0,COUNTIFS(Registre!$C$11:$C$50,$A18,Registre!$B$11:$B$50,"&gt;="&amp;W$10,Registre!$B$11:$B$50,"&lt;"&amp;EDATE(W$10,1)),IF(AND($K18&lt;&gt;"",$K18&gt;=W$10,$K18&lt;EDATE(W$10,1)),"prévu","")))</f>
        <v/>
      </c>
      <c r="X18" s="25" t="str">
        <f aca="false">IF($C18="","",IF(COUNTIFS(Registre!$C$11:$C$50,$A18,Registre!$B$11:$B$50,"&gt;="&amp;X$10,Registre!$B$11:$B$50,"&lt;"&amp;EDATE(X$10,1))&gt;0,COUNTIFS(Registre!$C$11:$C$50,$A18,Registre!$B$11:$B$50,"&gt;="&amp;X$10,Registre!$B$11:$B$50,"&lt;"&amp;EDATE(X$10,1)),IF(AND($K18&lt;&gt;"",$K18&gt;=X$10,$K18&lt;EDATE(X$10,1)),"prévu","")))</f>
        <v/>
      </c>
    </row>
    <row r="19" customFormat="false" ht="45" hidden="false" customHeight="true" outlineLevel="0" collapsed="false">
      <c r="A19" s="20" t="n">
        <v>9</v>
      </c>
      <c r="B19" s="21" t="s">
        <v>78</v>
      </c>
      <c r="C19" s="21" t="s">
        <v>81</v>
      </c>
      <c r="D19" s="21" t="s">
        <v>81</v>
      </c>
      <c r="E19" s="21" t="s">
        <v>82</v>
      </c>
      <c r="F19" s="21"/>
      <c r="G19" s="22" t="str">
        <f aca="false">IF(F19="","",IFERROR(IF(INDEX(Listes!$D$4:$D$10,MATCH(F19,Listes!$C$4:$C$10,0))="","",INDEX(Listes!$D$4:$D$10,MATCH(F19,Listes!$C$4:$C$10,0))),""))</f>
        <v/>
      </c>
      <c r="H19" s="21"/>
      <c r="I19" s="23"/>
      <c r="J19" s="24" t="str">
        <f aca="false">IF($C19="","",IFERROR(IF(SUMPRODUCT(MAX((Registre!$C$11:$C$50=$A19)*Registre!$B$11:$B$50))=0,"",SUMPRODUCT(MAX((Registre!$C$11:$C$50=$A19)*Registre!$B$11:$B$50))),""))</f>
        <v/>
      </c>
      <c r="K19" s="24" t="str">
        <f aca="false">IF(OR($C19="",G19=""),"",IF(J19&lt;&gt;"",J19+G19,IF(I19&lt;&gt;"",I19,"")))</f>
        <v/>
      </c>
      <c r="L19" s="25" t="str">
        <f aca="false">IF($C19="","",IF($F19="","Fréquence à choisir",IF(G19="","Au fil de l’eau",IF(K19="","Premier passage à planifier",IF(K19&lt;$D$4,"En retard",IF(K19&lt;=$D$4+$D$6,"Passage proche","À jour"))))))</f>
        <v>Fréquence à choisir</v>
      </c>
      <c r="M19" s="25" t="str">
        <f aca="false">IF($C19="","",IF(COUNTIFS(Registre!$C$11:$C$50,$A19,Registre!$B$11:$B$50,"&gt;="&amp;M$10,Registre!$B$11:$B$50,"&lt;"&amp;EDATE(M$10,1))&gt;0,COUNTIFS(Registre!$C$11:$C$50,$A19,Registre!$B$11:$B$50,"&gt;="&amp;M$10,Registre!$B$11:$B$50,"&lt;"&amp;EDATE(M$10,1)),IF(AND($K19&lt;&gt;"",$K19&gt;=M$10,$K19&lt;EDATE(M$10,1)),"prévu","")))</f>
        <v/>
      </c>
      <c r="N19" s="25" t="str">
        <f aca="false">IF($C19="","",IF(COUNTIFS(Registre!$C$11:$C$50,$A19,Registre!$B$11:$B$50,"&gt;="&amp;N$10,Registre!$B$11:$B$50,"&lt;"&amp;EDATE(N$10,1))&gt;0,COUNTIFS(Registre!$C$11:$C$50,$A19,Registre!$B$11:$B$50,"&gt;="&amp;N$10,Registre!$B$11:$B$50,"&lt;"&amp;EDATE(N$10,1)),IF(AND($K19&lt;&gt;"",$K19&gt;=N$10,$K19&lt;EDATE(N$10,1)),"prévu","")))</f>
        <v/>
      </c>
      <c r="O19" s="25" t="str">
        <f aca="false">IF($C19="","",IF(COUNTIFS(Registre!$C$11:$C$50,$A19,Registre!$B$11:$B$50,"&gt;="&amp;O$10,Registre!$B$11:$B$50,"&lt;"&amp;EDATE(O$10,1))&gt;0,COUNTIFS(Registre!$C$11:$C$50,$A19,Registre!$B$11:$B$50,"&gt;="&amp;O$10,Registre!$B$11:$B$50,"&lt;"&amp;EDATE(O$10,1)),IF(AND($K19&lt;&gt;"",$K19&gt;=O$10,$K19&lt;EDATE(O$10,1)),"prévu","")))</f>
        <v/>
      </c>
      <c r="P19" s="25" t="str">
        <f aca="false">IF($C19="","",IF(COUNTIFS(Registre!$C$11:$C$50,$A19,Registre!$B$11:$B$50,"&gt;="&amp;P$10,Registre!$B$11:$B$50,"&lt;"&amp;EDATE(P$10,1))&gt;0,COUNTIFS(Registre!$C$11:$C$50,$A19,Registre!$B$11:$B$50,"&gt;="&amp;P$10,Registre!$B$11:$B$50,"&lt;"&amp;EDATE(P$10,1)),IF(AND($K19&lt;&gt;"",$K19&gt;=P$10,$K19&lt;EDATE(P$10,1)),"prévu","")))</f>
        <v/>
      </c>
      <c r="Q19" s="25" t="str">
        <f aca="false">IF($C19="","",IF(COUNTIFS(Registre!$C$11:$C$50,$A19,Registre!$B$11:$B$50,"&gt;="&amp;Q$10,Registre!$B$11:$B$50,"&lt;"&amp;EDATE(Q$10,1))&gt;0,COUNTIFS(Registre!$C$11:$C$50,$A19,Registre!$B$11:$B$50,"&gt;="&amp;Q$10,Registre!$B$11:$B$50,"&lt;"&amp;EDATE(Q$10,1)),IF(AND($K19&lt;&gt;"",$K19&gt;=Q$10,$K19&lt;EDATE(Q$10,1)),"prévu","")))</f>
        <v/>
      </c>
      <c r="R19" s="25" t="str">
        <f aca="false">IF($C19="","",IF(COUNTIFS(Registre!$C$11:$C$50,$A19,Registre!$B$11:$B$50,"&gt;="&amp;R$10,Registre!$B$11:$B$50,"&lt;"&amp;EDATE(R$10,1))&gt;0,COUNTIFS(Registre!$C$11:$C$50,$A19,Registre!$B$11:$B$50,"&gt;="&amp;R$10,Registre!$B$11:$B$50,"&lt;"&amp;EDATE(R$10,1)),IF(AND($K19&lt;&gt;"",$K19&gt;=R$10,$K19&lt;EDATE(R$10,1)),"prévu","")))</f>
        <v/>
      </c>
      <c r="S19" s="25" t="str">
        <f aca="false">IF($C19="","",IF(COUNTIFS(Registre!$C$11:$C$50,$A19,Registre!$B$11:$B$50,"&gt;="&amp;S$10,Registre!$B$11:$B$50,"&lt;"&amp;EDATE(S$10,1))&gt;0,COUNTIFS(Registre!$C$11:$C$50,$A19,Registre!$B$11:$B$50,"&gt;="&amp;S$10,Registre!$B$11:$B$50,"&lt;"&amp;EDATE(S$10,1)),IF(AND($K19&lt;&gt;"",$K19&gt;=S$10,$K19&lt;EDATE(S$10,1)),"prévu","")))</f>
        <v/>
      </c>
      <c r="T19" s="25" t="str">
        <f aca="false">IF($C19="","",IF(COUNTIFS(Registre!$C$11:$C$50,$A19,Registre!$B$11:$B$50,"&gt;="&amp;T$10,Registre!$B$11:$B$50,"&lt;"&amp;EDATE(T$10,1))&gt;0,COUNTIFS(Registre!$C$11:$C$50,$A19,Registre!$B$11:$B$50,"&gt;="&amp;T$10,Registre!$B$11:$B$50,"&lt;"&amp;EDATE(T$10,1)),IF(AND($K19&lt;&gt;"",$K19&gt;=T$10,$K19&lt;EDATE(T$10,1)),"prévu","")))</f>
        <v/>
      </c>
      <c r="U19" s="25" t="str">
        <f aca="false">IF($C19="","",IF(COUNTIFS(Registre!$C$11:$C$50,$A19,Registre!$B$11:$B$50,"&gt;="&amp;U$10,Registre!$B$11:$B$50,"&lt;"&amp;EDATE(U$10,1))&gt;0,COUNTIFS(Registre!$C$11:$C$50,$A19,Registre!$B$11:$B$50,"&gt;="&amp;U$10,Registre!$B$11:$B$50,"&lt;"&amp;EDATE(U$10,1)),IF(AND($K19&lt;&gt;"",$K19&gt;=U$10,$K19&lt;EDATE(U$10,1)),"prévu","")))</f>
        <v/>
      </c>
      <c r="V19" s="25" t="str">
        <f aca="false">IF($C19="","",IF(COUNTIFS(Registre!$C$11:$C$50,$A19,Registre!$B$11:$B$50,"&gt;="&amp;V$10,Registre!$B$11:$B$50,"&lt;"&amp;EDATE(V$10,1))&gt;0,COUNTIFS(Registre!$C$11:$C$50,$A19,Registre!$B$11:$B$50,"&gt;="&amp;V$10,Registre!$B$11:$B$50,"&lt;"&amp;EDATE(V$10,1)),IF(AND($K19&lt;&gt;"",$K19&gt;=V$10,$K19&lt;EDATE(V$10,1)),"prévu","")))</f>
        <v/>
      </c>
      <c r="W19" s="25" t="str">
        <f aca="false">IF($C19="","",IF(COUNTIFS(Registre!$C$11:$C$50,$A19,Registre!$B$11:$B$50,"&gt;="&amp;W$10,Registre!$B$11:$B$50,"&lt;"&amp;EDATE(W$10,1))&gt;0,COUNTIFS(Registre!$C$11:$C$50,$A19,Registre!$B$11:$B$50,"&gt;="&amp;W$10,Registre!$B$11:$B$50,"&lt;"&amp;EDATE(W$10,1)),IF(AND($K19&lt;&gt;"",$K19&gt;=W$10,$K19&lt;EDATE(W$10,1)),"prévu","")))</f>
        <v/>
      </c>
      <c r="X19" s="25" t="str">
        <f aca="false">IF($C19="","",IF(COUNTIFS(Registre!$C$11:$C$50,$A19,Registre!$B$11:$B$50,"&gt;="&amp;X$10,Registre!$B$11:$B$50,"&lt;"&amp;EDATE(X$10,1))&gt;0,COUNTIFS(Registre!$C$11:$C$50,$A19,Registre!$B$11:$B$50,"&gt;="&amp;X$10,Registre!$B$11:$B$50,"&lt;"&amp;EDATE(X$10,1)),IF(AND($K19&lt;&gt;"",$K19&gt;=X$10,$K19&lt;EDATE(X$10,1)),"prévu","")))</f>
        <v/>
      </c>
    </row>
    <row r="20" customFormat="false" ht="45" hidden="false" customHeight="true" outlineLevel="0" collapsed="false">
      <c r="A20" s="20" t="n">
        <v>10</v>
      </c>
      <c r="B20" s="21" t="s">
        <v>78</v>
      </c>
      <c r="C20" s="21" t="s">
        <v>83</v>
      </c>
      <c r="D20" s="21" t="s">
        <v>84</v>
      </c>
      <c r="E20" s="21" t="s">
        <v>85</v>
      </c>
      <c r="F20" s="21"/>
      <c r="G20" s="22" t="str">
        <f aca="false">IF(F20="","",IFERROR(IF(INDEX(Listes!$D$4:$D$10,MATCH(F20,Listes!$C$4:$C$10,0))="","",INDEX(Listes!$D$4:$D$10,MATCH(F20,Listes!$C$4:$C$10,0))),""))</f>
        <v/>
      </c>
      <c r="H20" s="21"/>
      <c r="I20" s="23"/>
      <c r="J20" s="24" t="str">
        <f aca="false">IF($C20="","",IFERROR(IF(SUMPRODUCT(MAX((Registre!$C$11:$C$50=$A20)*Registre!$B$11:$B$50))=0,"",SUMPRODUCT(MAX((Registre!$C$11:$C$50=$A20)*Registre!$B$11:$B$50))),""))</f>
        <v/>
      </c>
      <c r="K20" s="24" t="str">
        <f aca="false">IF(OR($C20="",G20=""),"",IF(J20&lt;&gt;"",J20+G20,IF(I20&lt;&gt;"",I20,"")))</f>
        <v/>
      </c>
      <c r="L20" s="25" t="str">
        <f aca="false">IF($C20="","",IF($F20="","Fréquence à choisir",IF(G20="","Au fil de l’eau",IF(K20="","Premier passage à planifier",IF(K20&lt;$D$4,"En retard",IF(K20&lt;=$D$4+$D$6,"Passage proche","À jour"))))))</f>
        <v>Fréquence à choisir</v>
      </c>
      <c r="M20" s="25" t="str">
        <f aca="false">IF($C20="","",IF(COUNTIFS(Registre!$C$11:$C$50,$A20,Registre!$B$11:$B$50,"&gt;="&amp;M$10,Registre!$B$11:$B$50,"&lt;"&amp;EDATE(M$10,1))&gt;0,COUNTIFS(Registre!$C$11:$C$50,$A20,Registre!$B$11:$B$50,"&gt;="&amp;M$10,Registre!$B$11:$B$50,"&lt;"&amp;EDATE(M$10,1)),IF(AND($K20&lt;&gt;"",$K20&gt;=M$10,$K20&lt;EDATE(M$10,1)),"prévu","")))</f>
        <v/>
      </c>
      <c r="N20" s="25" t="str">
        <f aca="false">IF($C20="","",IF(COUNTIFS(Registre!$C$11:$C$50,$A20,Registre!$B$11:$B$50,"&gt;="&amp;N$10,Registre!$B$11:$B$50,"&lt;"&amp;EDATE(N$10,1))&gt;0,COUNTIFS(Registre!$C$11:$C$50,$A20,Registre!$B$11:$B$50,"&gt;="&amp;N$10,Registre!$B$11:$B$50,"&lt;"&amp;EDATE(N$10,1)),IF(AND($K20&lt;&gt;"",$K20&gt;=N$10,$K20&lt;EDATE(N$10,1)),"prévu","")))</f>
        <v/>
      </c>
      <c r="O20" s="25" t="str">
        <f aca="false">IF($C20="","",IF(COUNTIFS(Registre!$C$11:$C$50,$A20,Registre!$B$11:$B$50,"&gt;="&amp;O$10,Registre!$B$11:$B$50,"&lt;"&amp;EDATE(O$10,1))&gt;0,COUNTIFS(Registre!$C$11:$C$50,$A20,Registre!$B$11:$B$50,"&gt;="&amp;O$10,Registre!$B$11:$B$50,"&lt;"&amp;EDATE(O$10,1)),IF(AND($K20&lt;&gt;"",$K20&gt;=O$10,$K20&lt;EDATE(O$10,1)),"prévu","")))</f>
        <v/>
      </c>
      <c r="P20" s="25" t="str">
        <f aca="false">IF($C20="","",IF(COUNTIFS(Registre!$C$11:$C$50,$A20,Registre!$B$11:$B$50,"&gt;="&amp;P$10,Registre!$B$11:$B$50,"&lt;"&amp;EDATE(P$10,1))&gt;0,COUNTIFS(Registre!$C$11:$C$50,$A20,Registre!$B$11:$B$50,"&gt;="&amp;P$10,Registre!$B$11:$B$50,"&lt;"&amp;EDATE(P$10,1)),IF(AND($K20&lt;&gt;"",$K20&gt;=P$10,$K20&lt;EDATE(P$10,1)),"prévu","")))</f>
        <v/>
      </c>
      <c r="Q20" s="25" t="str">
        <f aca="false">IF($C20="","",IF(COUNTIFS(Registre!$C$11:$C$50,$A20,Registre!$B$11:$B$50,"&gt;="&amp;Q$10,Registre!$B$11:$B$50,"&lt;"&amp;EDATE(Q$10,1))&gt;0,COUNTIFS(Registre!$C$11:$C$50,$A20,Registre!$B$11:$B$50,"&gt;="&amp;Q$10,Registre!$B$11:$B$50,"&lt;"&amp;EDATE(Q$10,1)),IF(AND($K20&lt;&gt;"",$K20&gt;=Q$10,$K20&lt;EDATE(Q$10,1)),"prévu","")))</f>
        <v/>
      </c>
      <c r="R20" s="25" t="str">
        <f aca="false">IF($C20="","",IF(COUNTIFS(Registre!$C$11:$C$50,$A20,Registre!$B$11:$B$50,"&gt;="&amp;R$10,Registre!$B$11:$B$50,"&lt;"&amp;EDATE(R$10,1))&gt;0,COUNTIFS(Registre!$C$11:$C$50,$A20,Registre!$B$11:$B$50,"&gt;="&amp;R$10,Registre!$B$11:$B$50,"&lt;"&amp;EDATE(R$10,1)),IF(AND($K20&lt;&gt;"",$K20&gt;=R$10,$K20&lt;EDATE(R$10,1)),"prévu","")))</f>
        <v/>
      </c>
      <c r="S20" s="25" t="str">
        <f aca="false">IF($C20="","",IF(COUNTIFS(Registre!$C$11:$C$50,$A20,Registre!$B$11:$B$50,"&gt;="&amp;S$10,Registre!$B$11:$B$50,"&lt;"&amp;EDATE(S$10,1))&gt;0,COUNTIFS(Registre!$C$11:$C$50,$A20,Registre!$B$11:$B$50,"&gt;="&amp;S$10,Registre!$B$11:$B$50,"&lt;"&amp;EDATE(S$10,1)),IF(AND($K20&lt;&gt;"",$K20&gt;=S$10,$K20&lt;EDATE(S$10,1)),"prévu","")))</f>
        <v/>
      </c>
      <c r="T20" s="25" t="str">
        <f aca="false">IF($C20="","",IF(COUNTIFS(Registre!$C$11:$C$50,$A20,Registre!$B$11:$B$50,"&gt;="&amp;T$10,Registre!$B$11:$B$50,"&lt;"&amp;EDATE(T$10,1))&gt;0,COUNTIFS(Registre!$C$11:$C$50,$A20,Registre!$B$11:$B$50,"&gt;="&amp;T$10,Registre!$B$11:$B$50,"&lt;"&amp;EDATE(T$10,1)),IF(AND($K20&lt;&gt;"",$K20&gt;=T$10,$K20&lt;EDATE(T$10,1)),"prévu","")))</f>
        <v/>
      </c>
      <c r="U20" s="25" t="str">
        <f aca="false">IF($C20="","",IF(COUNTIFS(Registre!$C$11:$C$50,$A20,Registre!$B$11:$B$50,"&gt;="&amp;U$10,Registre!$B$11:$B$50,"&lt;"&amp;EDATE(U$10,1))&gt;0,COUNTIFS(Registre!$C$11:$C$50,$A20,Registre!$B$11:$B$50,"&gt;="&amp;U$10,Registre!$B$11:$B$50,"&lt;"&amp;EDATE(U$10,1)),IF(AND($K20&lt;&gt;"",$K20&gt;=U$10,$K20&lt;EDATE(U$10,1)),"prévu","")))</f>
        <v/>
      </c>
      <c r="V20" s="25" t="str">
        <f aca="false">IF($C20="","",IF(COUNTIFS(Registre!$C$11:$C$50,$A20,Registre!$B$11:$B$50,"&gt;="&amp;V$10,Registre!$B$11:$B$50,"&lt;"&amp;EDATE(V$10,1))&gt;0,COUNTIFS(Registre!$C$11:$C$50,$A20,Registre!$B$11:$B$50,"&gt;="&amp;V$10,Registre!$B$11:$B$50,"&lt;"&amp;EDATE(V$10,1)),IF(AND($K20&lt;&gt;"",$K20&gt;=V$10,$K20&lt;EDATE(V$10,1)),"prévu","")))</f>
        <v/>
      </c>
      <c r="W20" s="25" t="str">
        <f aca="false">IF($C20="","",IF(COUNTIFS(Registre!$C$11:$C$50,$A20,Registre!$B$11:$B$50,"&gt;="&amp;W$10,Registre!$B$11:$B$50,"&lt;"&amp;EDATE(W$10,1))&gt;0,COUNTIFS(Registre!$C$11:$C$50,$A20,Registre!$B$11:$B$50,"&gt;="&amp;W$10,Registre!$B$11:$B$50,"&lt;"&amp;EDATE(W$10,1)),IF(AND($K20&lt;&gt;"",$K20&gt;=W$10,$K20&lt;EDATE(W$10,1)),"prévu","")))</f>
        <v/>
      </c>
      <c r="X20" s="25" t="str">
        <f aca="false">IF($C20="","",IF(COUNTIFS(Registre!$C$11:$C$50,$A20,Registre!$B$11:$B$50,"&gt;="&amp;X$10,Registre!$B$11:$B$50,"&lt;"&amp;EDATE(X$10,1))&gt;0,COUNTIFS(Registre!$C$11:$C$50,$A20,Registre!$B$11:$B$50,"&gt;="&amp;X$10,Registre!$B$11:$B$50,"&lt;"&amp;EDATE(X$10,1)),IF(AND($K20&lt;&gt;"",$K20&gt;=X$10,$K20&lt;EDATE(X$10,1)),"prévu","")))</f>
        <v/>
      </c>
    </row>
    <row r="21" customFormat="false" ht="24" hidden="false" customHeight="true" outlineLevel="0" collapsed="false">
      <c r="A21" s="20" t="n">
        <v>11</v>
      </c>
      <c r="B21" s="21"/>
      <c r="C21" s="21"/>
      <c r="D21" s="21"/>
      <c r="E21" s="21"/>
      <c r="F21" s="21"/>
      <c r="G21" s="22" t="str">
        <f aca="false">IF(F21="","",IFERROR(IF(INDEX(Listes!$D$4:$D$10,MATCH(F21,Listes!$C$4:$C$10,0))="","",INDEX(Listes!$D$4:$D$10,MATCH(F21,Listes!$C$4:$C$10,0))),""))</f>
        <v/>
      </c>
      <c r="H21" s="21"/>
      <c r="I21" s="23"/>
      <c r="J21" s="24" t="str">
        <f aca="false">IF($C21="","",IFERROR(IF(SUMPRODUCT(MAX((Registre!$C$11:$C$50=$A21)*Registre!$B$11:$B$50))=0,"",SUMPRODUCT(MAX((Registre!$C$11:$C$50=$A21)*Registre!$B$11:$B$50))),""))</f>
        <v/>
      </c>
      <c r="K21" s="24" t="str">
        <f aca="false">IF(OR($C21="",G21=""),"",IF(J21&lt;&gt;"",J21+G21,IF(I21&lt;&gt;"",I21,"")))</f>
        <v/>
      </c>
      <c r="L21" s="25" t="str">
        <f aca="false">IF($C21="","",IF($F21="","Fréquence à choisir",IF(G21="","Au fil de l’eau",IF(K21="","Premier passage à planifier",IF(K21&lt;$D$4,"En retard",IF(K21&lt;=$D$4+$D$6,"Passage proche","À jour"))))))</f>
        <v/>
      </c>
      <c r="M21" s="25" t="str">
        <f aca="false">IF($C21="","",IF(COUNTIFS(Registre!$C$11:$C$50,$A21,Registre!$B$11:$B$50,"&gt;="&amp;M$10,Registre!$B$11:$B$50,"&lt;"&amp;EDATE(M$10,1))&gt;0,COUNTIFS(Registre!$C$11:$C$50,$A21,Registre!$B$11:$B$50,"&gt;="&amp;M$10,Registre!$B$11:$B$50,"&lt;"&amp;EDATE(M$10,1)),IF(AND($K21&lt;&gt;"",$K21&gt;=M$10,$K21&lt;EDATE(M$10,1)),"prévu","")))</f>
        <v/>
      </c>
      <c r="N21" s="25" t="str">
        <f aca="false">IF($C21="","",IF(COUNTIFS(Registre!$C$11:$C$50,$A21,Registre!$B$11:$B$50,"&gt;="&amp;N$10,Registre!$B$11:$B$50,"&lt;"&amp;EDATE(N$10,1))&gt;0,COUNTIFS(Registre!$C$11:$C$50,$A21,Registre!$B$11:$B$50,"&gt;="&amp;N$10,Registre!$B$11:$B$50,"&lt;"&amp;EDATE(N$10,1)),IF(AND($K21&lt;&gt;"",$K21&gt;=N$10,$K21&lt;EDATE(N$10,1)),"prévu","")))</f>
        <v/>
      </c>
      <c r="O21" s="25" t="str">
        <f aca="false">IF($C21="","",IF(COUNTIFS(Registre!$C$11:$C$50,$A21,Registre!$B$11:$B$50,"&gt;="&amp;O$10,Registre!$B$11:$B$50,"&lt;"&amp;EDATE(O$10,1))&gt;0,COUNTIFS(Registre!$C$11:$C$50,$A21,Registre!$B$11:$B$50,"&gt;="&amp;O$10,Registre!$B$11:$B$50,"&lt;"&amp;EDATE(O$10,1)),IF(AND($K21&lt;&gt;"",$K21&gt;=O$10,$K21&lt;EDATE(O$10,1)),"prévu","")))</f>
        <v/>
      </c>
      <c r="P21" s="25" t="str">
        <f aca="false">IF($C21="","",IF(COUNTIFS(Registre!$C$11:$C$50,$A21,Registre!$B$11:$B$50,"&gt;="&amp;P$10,Registre!$B$11:$B$50,"&lt;"&amp;EDATE(P$10,1))&gt;0,COUNTIFS(Registre!$C$11:$C$50,$A21,Registre!$B$11:$B$50,"&gt;="&amp;P$10,Registre!$B$11:$B$50,"&lt;"&amp;EDATE(P$10,1)),IF(AND($K21&lt;&gt;"",$K21&gt;=P$10,$K21&lt;EDATE(P$10,1)),"prévu","")))</f>
        <v/>
      </c>
      <c r="Q21" s="25" t="str">
        <f aca="false">IF($C21="","",IF(COUNTIFS(Registre!$C$11:$C$50,$A21,Registre!$B$11:$B$50,"&gt;="&amp;Q$10,Registre!$B$11:$B$50,"&lt;"&amp;EDATE(Q$10,1))&gt;0,COUNTIFS(Registre!$C$11:$C$50,$A21,Registre!$B$11:$B$50,"&gt;="&amp;Q$10,Registre!$B$11:$B$50,"&lt;"&amp;EDATE(Q$10,1)),IF(AND($K21&lt;&gt;"",$K21&gt;=Q$10,$K21&lt;EDATE(Q$10,1)),"prévu","")))</f>
        <v/>
      </c>
      <c r="R21" s="25" t="str">
        <f aca="false">IF($C21="","",IF(COUNTIFS(Registre!$C$11:$C$50,$A21,Registre!$B$11:$B$50,"&gt;="&amp;R$10,Registre!$B$11:$B$50,"&lt;"&amp;EDATE(R$10,1))&gt;0,COUNTIFS(Registre!$C$11:$C$50,$A21,Registre!$B$11:$B$50,"&gt;="&amp;R$10,Registre!$B$11:$B$50,"&lt;"&amp;EDATE(R$10,1)),IF(AND($K21&lt;&gt;"",$K21&gt;=R$10,$K21&lt;EDATE(R$10,1)),"prévu","")))</f>
        <v/>
      </c>
      <c r="S21" s="25" t="str">
        <f aca="false">IF($C21="","",IF(COUNTIFS(Registre!$C$11:$C$50,$A21,Registre!$B$11:$B$50,"&gt;="&amp;S$10,Registre!$B$11:$B$50,"&lt;"&amp;EDATE(S$10,1))&gt;0,COUNTIFS(Registre!$C$11:$C$50,$A21,Registre!$B$11:$B$50,"&gt;="&amp;S$10,Registre!$B$11:$B$50,"&lt;"&amp;EDATE(S$10,1)),IF(AND($K21&lt;&gt;"",$K21&gt;=S$10,$K21&lt;EDATE(S$10,1)),"prévu","")))</f>
        <v/>
      </c>
      <c r="T21" s="25" t="str">
        <f aca="false">IF($C21="","",IF(COUNTIFS(Registre!$C$11:$C$50,$A21,Registre!$B$11:$B$50,"&gt;="&amp;T$10,Registre!$B$11:$B$50,"&lt;"&amp;EDATE(T$10,1))&gt;0,COUNTIFS(Registre!$C$11:$C$50,$A21,Registre!$B$11:$B$50,"&gt;="&amp;T$10,Registre!$B$11:$B$50,"&lt;"&amp;EDATE(T$10,1)),IF(AND($K21&lt;&gt;"",$K21&gt;=T$10,$K21&lt;EDATE(T$10,1)),"prévu","")))</f>
        <v/>
      </c>
      <c r="U21" s="25" t="str">
        <f aca="false">IF($C21="","",IF(COUNTIFS(Registre!$C$11:$C$50,$A21,Registre!$B$11:$B$50,"&gt;="&amp;U$10,Registre!$B$11:$B$50,"&lt;"&amp;EDATE(U$10,1))&gt;0,COUNTIFS(Registre!$C$11:$C$50,$A21,Registre!$B$11:$B$50,"&gt;="&amp;U$10,Registre!$B$11:$B$50,"&lt;"&amp;EDATE(U$10,1)),IF(AND($K21&lt;&gt;"",$K21&gt;=U$10,$K21&lt;EDATE(U$10,1)),"prévu","")))</f>
        <v/>
      </c>
      <c r="V21" s="25" t="str">
        <f aca="false">IF($C21="","",IF(COUNTIFS(Registre!$C$11:$C$50,$A21,Registre!$B$11:$B$50,"&gt;="&amp;V$10,Registre!$B$11:$B$50,"&lt;"&amp;EDATE(V$10,1))&gt;0,COUNTIFS(Registre!$C$11:$C$50,$A21,Registre!$B$11:$B$50,"&gt;="&amp;V$10,Registre!$B$11:$B$50,"&lt;"&amp;EDATE(V$10,1)),IF(AND($K21&lt;&gt;"",$K21&gt;=V$10,$K21&lt;EDATE(V$10,1)),"prévu","")))</f>
        <v/>
      </c>
      <c r="W21" s="25" t="str">
        <f aca="false">IF($C21="","",IF(COUNTIFS(Registre!$C$11:$C$50,$A21,Registre!$B$11:$B$50,"&gt;="&amp;W$10,Registre!$B$11:$B$50,"&lt;"&amp;EDATE(W$10,1))&gt;0,COUNTIFS(Registre!$C$11:$C$50,$A21,Registre!$B$11:$B$50,"&gt;="&amp;W$10,Registre!$B$11:$B$50,"&lt;"&amp;EDATE(W$10,1)),IF(AND($K21&lt;&gt;"",$K21&gt;=W$10,$K21&lt;EDATE(W$10,1)),"prévu","")))</f>
        <v/>
      </c>
      <c r="X21" s="25" t="str">
        <f aca="false">IF($C21="","",IF(COUNTIFS(Registre!$C$11:$C$50,$A21,Registre!$B$11:$B$50,"&gt;="&amp;X$10,Registre!$B$11:$B$50,"&lt;"&amp;EDATE(X$10,1))&gt;0,COUNTIFS(Registre!$C$11:$C$50,$A21,Registre!$B$11:$B$50,"&gt;="&amp;X$10,Registre!$B$11:$B$50,"&lt;"&amp;EDATE(X$10,1)),IF(AND($K21&lt;&gt;"",$K21&gt;=X$10,$K21&lt;EDATE(X$10,1)),"prévu","")))</f>
        <v/>
      </c>
    </row>
    <row r="22" customFormat="false" ht="24" hidden="false" customHeight="true" outlineLevel="0" collapsed="false">
      <c r="A22" s="20" t="n">
        <v>12</v>
      </c>
      <c r="B22" s="21"/>
      <c r="C22" s="21"/>
      <c r="D22" s="21"/>
      <c r="E22" s="21"/>
      <c r="F22" s="21"/>
      <c r="G22" s="22" t="str">
        <f aca="false">IF(F22="","",IFERROR(IF(INDEX(Listes!$D$4:$D$10,MATCH(F22,Listes!$C$4:$C$10,0))="","",INDEX(Listes!$D$4:$D$10,MATCH(F22,Listes!$C$4:$C$10,0))),""))</f>
        <v/>
      </c>
      <c r="H22" s="21"/>
      <c r="I22" s="23"/>
      <c r="J22" s="24" t="str">
        <f aca="false">IF($C22="","",IFERROR(IF(SUMPRODUCT(MAX((Registre!$C$11:$C$50=$A22)*Registre!$B$11:$B$50))=0,"",SUMPRODUCT(MAX((Registre!$C$11:$C$50=$A22)*Registre!$B$11:$B$50))),""))</f>
        <v/>
      </c>
      <c r="K22" s="24" t="str">
        <f aca="false">IF(OR($C22="",G22=""),"",IF(J22&lt;&gt;"",J22+G22,IF(I22&lt;&gt;"",I22,"")))</f>
        <v/>
      </c>
      <c r="L22" s="25" t="str">
        <f aca="false">IF($C22="","",IF($F22="","Fréquence à choisir",IF(G22="","Au fil de l’eau",IF(K22="","Premier passage à planifier",IF(K22&lt;$D$4,"En retard",IF(K22&lt;=$D$4+$D$6,"Passage proche","À jour"))))))</f>
        <v/>
      </c>
      <c r="M22" s="25" t="str">
        <f aca="false">IF($C22="","",IF(COUNTIFS(Registre!$C$11:$C$50,$A22,Registre!$B$11:$B$50,"&gt;="&amp;M$10,Registre!$B$11:$B$50,"&lt;"&amp;EDATE(M$10,1))&gt;0,COUNTIFS(Registre!$C$11:$C$50,$A22,Registre!$B$11:$B$50,"&gt;="&amp;M$10,Registre!$B$11:$B$50,"&lt;"&amp;EDATE(M$10,1)),IF(AND($K22&lt;&gt;"",$K22&gt;=M$10,$K22&lt;EDATE(M$10,1)),"prévu","")))</f>
        <v/>
      </c>
      <c r="N22" s="25" t="str">
        <f aca="false">IF($C22="","",IF(COUNTIFS(Registre!$C$11:$C$50,$A22,Registre!$B$11:$B$50,"&gt;="&amp;N$10,Registre!$B$11:$B$50,"&lt;"&amp;EDATE(N$10,1))&gt;0,COUNTIFS(Registre!$C$11:$C$50,$A22,Registre!$B$11:$B$50,"&gt;="&amp;N$10,Registre!$B$11:$B$50,"&lt;"&amp;EDATE(N$10,1)),IF(AND($K22&lt;&gt;"",$K22&gt;=N$10,$K22&lt;EDATE(N$10,1)),"prévu","")))</f>
        <v/>
      </c>
      <c r="O22" s="25" t="str">
        <f aca="false">IF($C22="","",IF(COUNTIFS(Registre!$C$11:$C$50,$A22,Registre!$B$11:$B$50,"&gt;="&amp;O$10,Registre!$B$11:$B$50,"&lt;"&amp;EDATE(O$10,1))&gt;0,COUNTIFS(Registre!$C$11:$C$50,$A22,Registre!$B$11:$B$50,"&gt;="&amp;O$10,Registre!$B$11:$B$50,"&lt;"&amp;EDATE(O$10,1)),IF(AND($K22&lt;&gt;"",$K22&gt;=O$10,$K22&lt;EDATE(O$10,1)),"prévu","")))</f>
        <v/>
      </c>
      <c r="P22" s="25" t="str">
        <f aca="false">IF($C22="","",IF(COUNTIFS(Registre!$C$11:$C$50,$A22,Registre!$B$11:$B$50,"&gt;="&amp;P$10,Registre!$B$11:$B$50,"&lt;"&amp;EDATE(P$10,1))&gt;0,COUNTIFS(Registre!$C$11:$C$50,$A22,Registre!$B$11:$B$50,"&gt;="&amp;P$10,Registre!$B$11:$B$50,"&lt;"&amp;EDATE(P$10,1)),IF(AND($K22&lt;&gt;"",$K22&gt;=P$10,$K22&lt;EDATE(P$10,1)),"prévu","")))</f>
        <v/>
      </c>
      <c r="Q22" s="25" t="str">
        <f aca="false">IF($C22="","",IF(COUNTIFS(Registre!$C$11:$C$50,$A22,Registre!$B$11:$B$50,"&gt;="&amp;Q$10,Registre!$B$11:$B$50,"&lt;"&amp;EDATE(Q$10,1))&gt;0,COUNTIFS(Registre!$C$11:$C$50,$A22,Registre!$B$11:$B$50,"&gt;="&amp;Q$10,Registre!$B$11:$B$50,"&lt;"&amp;EDATE(Q$10,1)),IF(AND($K22&lt;&gt;"",$K22&gt;=Q$10,$K22&lt;EDATE(Q$10,1)),"prévu","")))</f>
        <v/>
      </c>
      <c r="R22" s="25" t="str">
        <f aca="false">IF($C22="","",IF(COUNTIFS(Registre!$C$11:$C$50,$A22,Registre!$B$11:$B$50,"&gt;="&amp;R$10,Registre!$B$11:$B$50,"&lt;"&amp;EDATE(R$10,1))&gt;0,COUNTIFS(Registre!$C$11:$C$50,$A22,Registre!$B$11:$B$50,"&gt;="&amp;R$10,Registre!$B$11:$B$50,"&lt;"&amp;EDATE(R$10,1)),IF(AND($K22&lt;&gt;"",$K22&gt;=R$10,$K22&lt;EDATE(R$10,1)),"prévu","")))</f>
        <v/>
      </c>
      <c r="S22" s="25" t="str">
        <f aca="false">IF($C22="","",IF(COUNTIFS(Registre!$C$11:$C$50,$A22,Registre!$B$11:$B$50,"&gt;="&amp;S$10,Registre!$B$11:$B$50,"&lt;"&amp;EDATE(S$10,1))&gt;0,COUNTIFS(Registre!$C$11:$C$50,$A22,Registre!$B$11:$B$50,"&gt;="&amp;S$10,Registre!$B$11:$B$50,"&lt;"&amp;EDATE(S$10,1)),IF(AND($K22&lt;&gt;"",$K22&gt;=S$10,$K22&lt;EDATE(S$10,1)),"prévu","")))</f>
        <v/>
      </c>
      <c r="T22" s="25" t="str">
        <f aca="false">IF($C22="","",IF(COUNTIFS(Registre!$C$11:$C$50,$A22,Registre!$B$11:$B$50,"&gt;="&amp;T$10,Registre!$B$11:$B$50,"&lt;"&amp;EDATE(T$10,1))&gt;0,COUNTIFS(Registre!$C$11:$C$50,$A22,Registre!$B$11:$B$50,"&gt;="&amp;T$10,Registre!$B$11:$B$50,"&lt;"&amp;EDATE(T$10,1)),IF(AND($K22&lt;&gt;"",$K22&gt;=T$10,$K22&lt;EDATE(T$10,1)),"prévu","")))</f>
        <v/>
      </c>
      <c r="U22" s="25" t="str">
        <f aca="false">IF($C22="","",IF(COUNTIFS(Registre!$C$11:$C$50,$A22,Registre!$B$11:$B$50,"&gt;="&amp;U$10,Registre!$B$11:$B$50,"&lt;"&amp;EDATE(U$10,1))&gt;0,COUNTIFS(Registre!$C$11:$C$50,$A22,Registre!$B$11:$B$50,"&gt;="&amp;U$10,Registre!$B$11:$B$50,"&lt;"&amp;EDATE(U$10,1)),IF(AND($K22&lt;&gt;"",$K22&gt;=U$10,$K22&lt;EDATE(U$10,1)),"prévu","")))</f>
        <v/>
      </c>
      <c r="V22" s="25" t="str">
        <f aca="false">IF($C22="","",IF(COUNTIFS(Registre!$C$11:$C$50,$A22,Registre!$B$11:$B$50,"&gt;="&amp;V$10,Registre!$B$11:$B$50,"&lt;"&amp;EDATE(V$10,1))&gt;0,COUNTIFS(Registre!$C$11:$C$50,$A22,Registre!$B$11:$B$50,"&gt;="&amp;V$10,Registre!$B$11:$B$50,"&lt;"&amp;EDATE(V$10,1)),IF(AND($K22&lt;&gt;"",$K22&gt;=V$10,$K22&lt;EDATE(V$10,1)),"prévu","")))</f>
        <v/>
      </c>
      <c r="W22" s="25" t="str">
        <f aca="false">IF($C22="","",IF(COUNTIFS(Registre!$C$11:$C$50,$A22,Registre!$B$11:$B$50,"&gt;="&amp;W$10,Registre!$B$11:$B$50,"&lt;"&amp;EDATE(W$10,1))&gt;0,COUNTIFS(Registre!$C$11:$C$50,$A22,Registre!$B$11:$B$50,"&gt;="&amp;W$10,Registre!$B$11:$B$50,"&lt;"&amp;EDATE(W$10,1)),IF(AND($K22&lt;&gt;"",$K22&gt;=W$10,$K22&lt;EDATE(W$10,1)),"prévu","")))</f>
        <v/>
      </c>
      <c r="X22" s="25" t="str">
        <f aca="false">IF($C22="","",IF(COUNTIFS(Registre!$C$11:$C$50,$A22,Registre!$B$11:$B$50,"&gt;="&amp;X$10,Registre!$B$11:$B$50,"&lt;"&amp;EDATE(X$10,1))&gt;0,COUNTIFS(Registre!$C$11:$C$50,$A22,Registre!$B$11:$B$50,"&gt;="&amp;X$10,Registre!$B$11:$B$50,"&lt;"&amp;EDATE(X$10,1)),IF(AND($K22&lt;&gt;"",$K22&gt;=X$10,$K22&lt;EDATE(X$10,1)),"prévu","")))</f>
        <v/>
      </c>
    </row>
    <row r="23" customFormat="false" ht="24" hidden="false" customHeight="true" outlineLevel="0" collapsed="false">
      <c r="A23" s="20" t="n">
        <v>13</v>
      </c>
      <c r="B23" s="21"/>
      <c r="C23" s="21"/>
      <c r="D23" s="21"/>
      <c r="E23" s="21"/>
      <c r="F23" s="21"/>
      <c r="G23" s="22" t="str">
        <f aca="false">IF(F23="","",IFERROR(IF(INDEX(Listes!$D$4:$D$10,MATCH(F23,Listes!$C$4:$C$10,0))="","",INDEX(Listes!$D$4:$D$10,MATCH(F23,Listes!$C$4:$C$10,0))),""))</f>
        <v/>
      </c>
      <c r="H23" s="21"/>
      <c r="I23" s="23"/>
      <c r="J23" s="24" t="str">
        <f aca="false">IF($C23="","",IFERROR(IF(SUMPRODUCT(MAX((Registre!$C$11:$C$50=$A23)*Registre!$B$11:$B$50))=0,"",SUMPRODUCT(MAX((Registre!$C$11:$C$50=$A23)*Registre!$B$11:$B$50))),""))</f>
        <v/>
      </c>
      <c r="K23" s="24" t="str">
        <f aca="false">IF(OR($C23="",G23=""),"",IF(J23&lt;&gt;"",J23+G23,IF(I23&lt;&gt;"",I23,"")))</f>
        <v/>
      </c>
      <c r="L23" s="25" t="str">
        <f aca="false">IF($C23="","",IF($F23="","Fréquence à choisir",IF(G23="","Au fil de l’eau",IF(K23="","Premier passage à planifier",IF(K23&lt;$D$4,"En retard",IF(K23&lt;=$D$4+$D$6,"Passage proche","À jour"))))))</f>
        <v/>
      </c>
      <c r="M23" s="25" t="str">
        <f aca="false">IF($C23="","",IF(COUNTIFS(Registre!$C$11:$C$50,$A23,Registre!$B$11:$B$50,"&gt;="&amp;M$10,Registre!$B$11:$B$50,"&lt;"&amp;EDATE(M$10,1))&gt;0,COUNTIFS(Registre!$C$11:$C$50,$A23,Registre!$B$11:$B$50,"&gt;="&amp;M$10,Registre!$B$11:$B$50,"&lt;"&amp;EDATE(M$10,1)),IF(AND($K23&lt;&gt;"",$K23&gt;=M$10,$K23&lt;EDATE(M$10,1)),"prévu","")))</f>
        <v/>
      </c>
      <c r="N23" s="25" t="str">
        <f aca="false">IF($C23="","",IF(COUNTIFS(Registre!$C$11:$C$50,$A23,Registre!$B$11:$B$50,"&gt;="&amp;N$10,Registre!$B$11:$B$50,"&lt;"&amp;EDATE(N$10,1))&gt;0,COUNTIFS(Registre!$C$11:$C$50,$A23,Registre!$B$11:$B$50,"&gt;="&amp;N$10,Registre!$B$11:$B$50,"&lt;"&amp;EDATE(N$10,1)),IF(AND($K23&lt;&gt;"",$K23&gt;=N$10,$K23&lt;EDATE(N$10,1)),"prévu","")))</f>
        <v/>
      </c>
      <c r="O23" s="25" t="str">
        <f aca="false">IF($C23="","",IF(COUNTIFS(Registre!$C$11:$C$50,$A23,Registre!$B$11:$B$50,"&gt;="&amp;O$10,Registre!$B$11:$B$50,"&lt;"&amp;EDATE(O$10,1))&gt;0,COUNTIFS(Registre!$C$11:$C$50,$A23,Registre!$B$11:$B$50,"&gt;="&amp;O$10,Registre!$B$11:$B$50,"&lt;"&amp;EDATE(O$10,1)),IF(AND($K23&lt;&gt;"",$K23&gt;=O$10,$K23&lt;EDATE(O$10,1)),"prévu","")))</f>
        <v/>
      </c>
      <c r="P23" s="25" t="str">
        <f aca="false">IF($C23="","",IF(COUNTIFS(Registre!$C$11:$C$50,$A23,Registre!$B$11:$B$50,"&gt;="&amp;P$10,Registre!$B$11:$B$50,"&lt;"&amp;EDATE(P$10,1))&gt;0,COUNTIFS(Registre!$C$11:$C$50,$A23,Registre!$B$11:$B$50,"&gt;="&amp;P$10,Registre!$B$11:$B$50,"&lt;"&amp;EDATE(P$10,1)),IF(AND($K23&lt;&gt;"",$K23&gt;=P$10,$K23&lt;EDATE(P$10,1)),"prévu","")))</f>
        <v/>
      </c>
      <c r="Q23" s="25" t="str">
        <f aca="false">IF($C23="","",IF(COUNTIFS(Registre!$C$11:$C$50,$A23,Registre!$B$11:$B$50,"&gt;="&amp;Q$10,Registre!$B$11:$B$50,"&lt;"&amp;EDATE(Q$10,1))&gt;0,COUNTIFS(Registre!$C$11:$C$50,$A23,Registre!$B$11:$B$50,"&gt;="&amp;Q$10,Registre!$B$11:$B$50,"&lt;"&amp;EDATE(Q$10,1)),IF(AND($K23&lt;&gt;"",$K23&gt;=Q$10,$K23&lt;EDATE(Q$10,1)),"prévu","")))</f>
        <v/>
      </c>
      <c r="R23" s="25" t="str">
        <f aca="false">IF($C23="","",IF(COUNTIFS(Registre!$C$11:$C$50,$A23,Registre!$B$11:$B$50,"&gt;="&amp;R$10,Registre!$B$11:$B$50,"&lt;"&amp;EDATE(R$10,1))&gt;0,COUNTIFS(Registre!$C$11:$C$50,$A23,Registre!$B$11:$B$50,"&gt;="&amp;R$10,Registre!$B$11:$B$50,"&lt;"&amp;EDATE(R$10,1)),IF(AND($K23&lt;&gt;"",$K23&gt;=R$10,$K23&lt;EDATE(R$10,1)),"prévu","")))</f>
        <v/>
      </c>
      <c r="S23" s="25" t="str">
        <f aca="false">IF($C23="","",IF(COUNTIFS(Registre!$C$11:$C$50,$A23,Registre!$B$11:$B$50,"&gt;="&amp;S$10,Registre!$B$11:$B$50,"&lt;"&amp;EDATE(S$10,1))&gt;0,COUNTIFS(Registre!$C$11:$C$50,$A23,Registre!$B$11:$B$50,"&gt;="&amp;S$10,Registre!$B$11:$B$50,"&lt;"&amp;EDATE(S$10,1)),IF(AND($K23&lt;&gt;"",$K23&gt;=S$10,$K23&lt;EDATE(S$10,1)),"prévu","")))</f>
        <v/>
      </c>
      <c r="T23" s="25" t="str">
        <f aca="false">IF($C23="","",IF(COUNTIFS(Registre!$C$11:$C$50,$A23,Registre!$B$11:$B$50,"&gt;="&amp;T$10,Registre!$B$11:$B$50,"&lt;"&amp;EDATE(T$10,1))&gt;0,COUNTIFS(Registre!$C$11:$C$50,$A23,Registre!$B$11:$B$50,"&gt;="&amp;T$10,Registre!$B$11:$B$50,"&lt;"&amp;EDATE(T$10,1)),IF(AND($K23&lt;&gt;"",$K23&gt;=T$10,$K23&lt;EDATE(T$10,1)),"prévu","")))</f>
        <v/>
      </c>
      <c r="U23" s="25" t="str">
        <f aca="false">IF($C23="","",IF(COUNTIFS(Registre!$C$11:$C$50,$A23,Registre!$B$11:$B$50,"&gt;="&amp;U$10,Registre!$B$11:$B$50,"&lt;"&amp;EDATE(U$10,1))&gt;0,COUNTIFS(Registre!$C$11:$C$50,$A23,Registre!$B$11:$B$50,"&gt;="&amp;U$10,Registre!$B$11:$B$50,"&lt;"&amp;EDATE(U$10,1)),IF(AND($K23&lt;&gt;"",$K23&gt;=U$10,$K23&lt;EDATE(U$10,1)),"prévu","")))</f>
        <v/>
      </c>
      <c r="V23" s="25" t="str">
        <f aca="false">IF($C23="","",IF(COUNTIFS(Registre!$C$11:$C$50,$A23,Registre!$B$11:$B$50,"&gt;="&amp;V$10,Registre!$B$11:$B$50,"&lt;"&amp;EDATE(V$10,1))&gt;0,COUNTIFS(Registre!$C$11:$C$50,$A23,Registre!$B$11:$B$50,"&gt;="&amp;V$10,Registre!$B$11:$B$50,"&lt;"&amp;EDATE(V$10,1)),IF(AND($K23&lt;&gt;"",$K23&gt;=V$10,$K23&lt;EDATE(V$10,1)),"prévu","")))</f>
        <v/>
      </c>
      <c r="W23" s="25" t="str">
        <f aca="false">IF($C23="","",IF(COUNTIFS(Registre!$C$11:$C$50,$A23,Registre!$B$11:$B$50,"&gt;="&amp;W$10,Registre!$B$11:$B$50,"&lt;"&amp;EDATE(W$10,1))&gt;0,COUNTIFS(Registre!$C$11:$C$50,$A23,Registre!$B$11:$B$50,"&gt;="&amp;W$10,Registre!$B$11:$B$50,"&lt;"&amp;EDATE(W$10,1)),IF(AND($K23&lt;&gt;"",$K23&gt;=W$10,$K23&lt;EDATE(W$10,1)),"prévu","")))</f>
        <v/>
      </c>
      <c r="X23" s="25" t="str">
        <f aca="false">IF($C23="","",IF(COUNTIFS(Registre!$C$11:$C$50,$A23,Registre!$B$11:$B$50,"&gt;="&amp;X$10,Registre!$B$11:$B$50,"&lt;"&amp;EDATE(X$10,1))&gt;0,COUNTIFS(Registre!$C$11:$C$50,$A23,Registre!$B$11:$B$50,"&gt;="&amp;X$10,Registre!$B$11:$B$50,"&lt;"&amp;EDATE(X$10,1)),IF(AND($K23&lt;&gt;"",$K23&gt;=X$10,$K23&lt;EDATE(X$10,1)),"prévu","")))</f>
        <v/>
      </c>
    </row>
    <row r="24" customFormat="false" ht="24" hidden="false" customHeight="true" outlineLevel="0" collapsed="false">
      <c r="A24" s="20" t="n">
        <v>14</v>
      </c>
      <c r="B24" s="21"/>
      <c r="C24" s="21"/>
      <c r="D24" s="21"/>
      <c r="E24" s="21"/>
      <c r="F24" s="21"/>
      <c r="G24" s="22" t="str">
        <f aca="false">IF(F24="","",IFERROR(IF(INDEX(Listes!$D$4:$D$10,MATCH(F24,Listes!$C$4:$C$10,0))="","",INDEX(Listes!$D$4:$D$10,MATCH(F24,Listes!$C$4:$C$10,0))),""))</f>
        <v/>
      </c>
      <c r="H24" s="21"/>
      <c r="I24" s="23"/>
      <c r="J24" s="24" t="str">
        <f aca="false">IF($C24="","",IFERROR(IF(SUMPRODUCT(MAX((Registre!$C$11:$C$50=$A24)*Registre!$B$11:$B$50))=0,"",SUMPRODUCT(MAX((Registre!$C$11:$C$50=$A24)*Registre!$B$11:$B$50))),""))</f>
        <v/>
      </c>
      <c r="K24" s="24" t="str">
        <f aca="false">IF(OR($C24="",G24=""),"",IF(J24&lt;&gt;"",J24+G24,IF(I24&lt;&gt;"",I24,"")))</f>
        <v/>
      </c>
      <c r="L24" s="25" t="str">
        <f aca="false">IF($C24="","",IF($F24="","Fréquence à choisir",IF(G24="","Au fil de l’eau",IF(K24="","Premier passage à planifier",IF(K24&lt;$D$4,"En retard",IF(K24&lt;=$D$4+$D$6,"Passage proche","À jour"))))))</f>
        <v/>
      </c>
      <c r="M24" s="25" t="str">
        <f aca="false">IF($C24="","",IF(COUNTIFS(Registre!$C$11:$C$50,$A24,Registre!$B$11:$B$50,"&gt;="&amp;M$10,Registre!$B$11:$B$50,"&lt;"&amp;EDATE(M$10,1))&gt;0,COUNTIFS(Registre!$C$11:$C$50,$A24,Registre!$B$11:$B$50,"&gt;="&amp;M$10,Registre!$B$11:$B$50,"&lt;"&amp;EDATE(M$10,1)),IF(AND($K24&lt;&gt;"",$K24&gt;=M$10,$K24&lt;EDATE(M$10,1)),"prévu","")))</f>
        <v/>
      </c>
      <c r="N24" s="25" t="str">
        <f aca="false">IF($C24="","",IF(COUNTIFS(Registre!$C$11:$C$50,$A24,Registre!$B$11:$B$50,"&gt;="&amp;N$10,Registre!$B$11:$B$50,"&lt;"&amp;EDATE(N$10,1))&gt;0,COUNTIFS(Registre!$C$11:$C$50,$A24,Registre!$B$11:$B$50,"&gt;="&amp;N$10,Registre!$B$11:$B$50,"&lt;"&amp;EDATE(N$10,1)),IF(AND($K24&lt;&gt;"",$K24&gt;=N$10,$K24&lt;EDATE(N$10,1)),"prévu","")))</f>
        <v/>
      </c>
      <c r="O24" s="25" t="str">
        <f aca="false">IF($C24="","",IF(COUNTIFS(Registre!$C$11:$C$50,$A24,Registre!$B$11:$B$50,"&gt;="&amp;O$10,Registre!$B$11:$B$50,"&lt;"&amp;EDATE(O$10,1))&gt;0,COUNTIFS(Registre!$C$11:$C$50,$A24,Registre!$B$11:$B$50,"&gt;="&amp;O$10,Registre!$B$11:$B$50,"&lt;"&amp;EDATE(O$10,1)),IF(AND($K24&lt;&gt;"",$K24&gt;=O$10,$K24&lt;EDATE(O$10,1)),"prévu","")))</f>
        <v/>
      </c>
      <c r="P24" s="25" t="str">
        <f aca="false">IF($C24="","",IF(COUNTIFS(Registre!$C$11:$C$50,$A24,Registre!$B$11:$B$50,"&gt;="&amp;P$10,Registre!$B$11:$B$50,"&lt;"&amp;EDATE(P$10,1))&gt;0,COUNTIFS(Registre!$C$11:$C$50,$A24,Registre!$B$11:$B$50,"&gt;="&amp;P$10,Registre!$B$11:$B$50,"&lt;"&amp;EDATE(P$10,1)),IF(AND($K24&lt;&gt;"",$K24&gt;=P$10,$K24&lt;EDATE(P$10,1)),"prévu","")))</f>
        <v/>
      </c>
      <c r="Q24" s="25" t="str">
        <f aca="false">IF($C24="","",IF(COUNTIFS(Registre!$C$11:$C$50,$A24,Registre!$B$11:$B$50,"&gt;="&amp;Q$10,Registre!$B$11:$B$50,"&lt;"&amp;EDATE(Q$10,1))&gt;0,COUNTIFS(Registre!$C$11:$C$50,$A24,Registre!$B$11:$B$50,"&gt;="&amp;Q$10,Registre!$B$11:$B$50,"&lt;"&amp;EDATE(Q$10,1)),IF(AND($K24&lt;&gt;"",$K24&gt;=Q$10,$K24&lt;EDATE(Q$10,1)),"prévu","")))</f>
        <v/>
      </c>
      <c r="R24" s="25" t="str">
        <f aca="false">IF($C24="","",IF(COUNTIFS(Registre!$C$11:$C$50,$A24,Registre!$B$11:$B$50,"&gt;="&amp;R$10,Registre!$B$11:$B$50,"&lt;"&amp;EDATE(R$10,1))&gt;0,COUNTIFS(Registre!$C$11:$C$50,$A24,Registre!$B$11:$B$50,"&gt;="&amp;R$10,Registre!$B$11:$B$50,"&lt;"&amp;EDATE(R$10,1)),IF(AND($K24&lt;&gt;"",$K24&gt;=R$10,$K24&lt;EDATE(R$10,1)),"prévu","")))</f>
        <v/>
      </c>
      <c r="S24" s="25" t="str">
        <f aca="false">IF($C24="","",IF(COUNTIFS(Registre!$C$11:$C$50,$A24,Registre!$B$11:$B$50,"&gt;="&amp;S$10,Registre!$B$11:$B$50,"&lt;"&amp;EDATE(S$10,1))&gt;0,COUNTIFS(Registre!$C$11:$C$50,$A24,Registre!$B$11:$B$50,"&gt;="&amp;S$10,Registre!$B$11:$B$50,"&lt;"&amp;EDATE(S$10,1)),IF(AND($K24&lt;&gt;"",$K24&gt;=S$10,$K24&lt;EDATE(S$10,1)),"prévu","")))</f>
        <v/>
      </c>
      <c r="T24" s="25" t="str">
        <f aca="false">IF($C24="","",IF(COUNTIFS(Registre!$C$11:$C$50,$A24,Registre!$B$11:$B$50,"&gt;="&amp;T$10,Registre!$B$11:$B$50,"&lt;"&amp;EDATE(T$10,1))&gt;0,COUNTIFS(Registre!$C$11:$C$50,$A24,Registre!$B$11:$B$50,"&gt;="&amp;T$10,Registre!$B$11:$B$50,"&lt;"&amp;EDATE(T$10,1)),IF(AND($K24&lt;&gt;"",$K24&gt;=T$10,$K24&lt;EDATE(T$10,1)),"prévu","")))</f>
        <v/>
      </c>
      <c r="U24" s="25" t="str">
        <f aca="false">IF($C24="","",IF(COUNTIFS(Registre!$C$11:$C$50,$A24,Registre!$B$11:$B$50,"&gt;="&amp;U$10,Registre!$B$11:$B$50,"&lt;"&amp;EDATE(U$10,1))&gt;0,COUNTIFS(Registre!$C$11:$C$50,$A24,Registre!$B$11:$B$50,"&gt;="&amp;U$10,Registre!$B$11:$B$50,"&lt;"&amp;EDATE(U$10,1)),IF(AND($K24&lt;&gt;"",$K24&gt;=U$10,$K24&lt;EDATE(U$10,1)),"prévu","")))</f>
        <v/>
      </c>
      <c r="V24" s="25" t="str">
        <f aca="false">IF($C24="","",IF(COUNTIFS(Registre!$C$11:$C$50,$A24,Registre!$B$11:$B$50,"&gt;="&amp;V$10,Registre!$B$11:$B$50,"&lt;"&amp;EDATE(V$10,1))&gt;0,COUNTIFS(Registre!$C$11:$C$50,$A24,Registre!$B$11:$B$50,"&gt;="&amp;V$10,Registre!$B$11:$B$50,"&lt;"&amp;EDATE(V$10,1)),IF(AND($K24&lt;&gt;"",$K24&gt;=V$10,$K24&lt;EDATE(V$10,1)),"prévu","")))</f>
        <v/>
      </c>
      <c r="W24" s="25" t="str">
        <f aca="false">IF($C24="","",IF(COUNTIFS(Registre!$C$11:$C$50,$A24,Registre!$B$11:$B$50,"&gt;="&amp;W$10,Registre!$B$11:$B$50,"&lt;"&amp;EDATE(W$10,1))&gt;0,COUNTIFS(Registre!$C$11:$C$50,$A24,Registre!$B$11:$B$50,"&gt;="&amp;W$10,Registre!$B$11:$B$50,"&lt;"&amp;EDATE(W$10,1)),IF(AND($K24&lt;&gt;"",$K24&gt;=W$10,$K24&lt;EDATE(W$10,1)),"prévu","")))</f>
        <v/>
      </c>
      <c r="X24" s="25" t="str">
        <f aca="false">IF($C24="","",IF(COUNTIFS(Registre!$C$11:$C$50,$A24,Registre!$B$11:$B$50,"&gt;="&amp;X$10,Registre!$B$11:$B$50,"&lt;"&amp;EDATE(X$10,1))&gt;0,COUNTIFS(Registre!$C$11:$C$50,$A24,Registre!$B$11:$B$50,"&gt;="&amp;X$10,Registre!$B$11:$B$50,"&lt;"&amp;EDATE(X$10,1)),IF(AND($K24&lt;&gt;"",$K24&gt;=X$10,$K24&lt;EDATE(X$10,1)),"prévu","")))</f>
        <v/>
      </c>
    </row>
    <row r="25" customFormat="false" ht="24" hidden="false" customHeight="true" outlineLevel="0" collapsed="false">
      <c r="A25" s="20" t="n">
        <v>15</v>
      </c>
      <c r="B25" s="21"/>
      <c r="C25" s="21"/>
      <c r="D25" s="21"/>
      <c r="E25" s="21"/>
      <c r="F25" s="21"/>
      <c r="G25" s="22" t="str">
        <f aca="false">IF(F25="","",IFERROR(IF(INDEX(Listes!$D$4:$D$10,MATCH(F25,Listes!$C$4:$C$10,0))="","",INDEX(Listes!$D$4:$D$10,MATCH(F25,Listes!$C$4:$C$10,0))),""))</f>
        <v/>
      </c>
      <c r="H25" s="21"/>
      <c r="I25" s="23"/>
      <c r="J25" s="24" t="str">
        <f aca="false">IF($C25="","",IFERROR(IF(SUMPRODUCT(MAX((Registre!$C$11:$C$50=$A25)*Registre!$B$11:$B$50))=0,"",SUMPRODUCT(MAX((Registre!$C$11:$C$50=$A25)*Registre!$B$11:$B$50))),""))</f>
        <v/>
      </c>
      <c r="K25" s="24" t="str">
        <f aca="false">IF(OR($C25="",G25=""),"",IF(J25&lt;&gt;"",J25+G25,IF(I25&lt;&gt;"",I25,"")))</f>
        <v/>
      </c>
      <c r="L25" s="25" t="str">
        <f aca="false">IF($C25="","",IF($F25="","Fréquence à choisir",IF(G25="","Au fil de l’eau",IF(K25="","Premier passage à planifier",IF(K25&lt;$D$4,"En retard",IF(K25&lt;=$D$4+$D$6,"Passage proche","À jour"))))))</f>
        <v/>
      </c>
      <c r="M25" s="25" t="str">
        <f aca="false">IF($C25="","",IF(COUNTIFS(Registre!$C$11:$C$50,$A25,Registre!$B$11:$B$50,"&gt;="&amp;M$10,Registre!$B$11:$B$50,"&lt;"&amp;EDATE(M$10,1))&gt;0,COUNTIFS(Registre!$C$11:$C$50,$A25,Registre!$B$11:$B$50,"&gt;="&amp;M$10,Registre!$B$11:$B$50,"&lt;"&amp;EDATE(M$10,1)),IF(AND($K25&lt;&gt;"",$K25&gt;=M$10,$K25&lt;EDATE(M$10,1)),"prévu","")))</f>
        <v/>
      </c>
      <c r="N25" s="25" t="str">
        <f aca="false">IF($C25="","",IF(COUNTIFS(Registre!$C$11:$C$50,$A25,Registre!$B$11:$B$50,"&gt;="&amp;N$10,Registre!$B$11:$B$50,"&lt;"&amp;EDATE(N$10,1))&gt;0,COUNTIFS(Registre!$C$11:$C$50,$A25,Registre!$B$11:$B$50,"&gt;="&amp;N$10,Registre!$B$11:$B$50,"&lt;"&amp;EDATE(N$10,1)),IF(AND($K25&lt;&gt;"",$K25&gt;=N$10,$K25&lt;EDATE(N$10,1)),"prévu","")))</f>
        <v/>
      </c>
      <c r="O25" s="25" t="str">
        <f aca="false">IF($C25="","",IF(COUNTIFS(Registre!$C$11:$C$50,$A25,Registre!$B$11:$B$50,"&gt;="&amp;O$10,Registre!$B$11:$B$50,"&lt;"&amp;EDATE(O$10,1))&gt;0,COUNTIFS(Registre!$C$11:$C$50,$A25,Registre!$B$11:$B$50,"&gt;="&amp;O$10,Registre!$B$11:$B$50,"&lt;"&amp;EDATE(O$10,1)),IF(AND($K25&lt;&gt;"",$K25&gt;=O$10,$K25&lt;EDATE(O$10,1)),"prévu","")))</f>
        <v/>
      </c>
      <c r="P25" s="25" t="str">
        <f aca="false">IF($C25="","",IF(COUNTIFS(Registre!$C$11:$C$50,$A25,Registre!$B$11:$B$50,"&gt;="&amp;P$10,Registre!$B$11:$B$50,"&lt;"&amp;EDATE(P$10,1))&gt;0,COUNTIFS(Registre!$C$11:$C$50,$A25,Registre!$B$11:$B$50,"&gt;="&amp;P$10,Registre!$B$11:$B$50,"&lt;"&amp;EDATE(P$10,1)),IF(AND($K25&lt;&gt;"",$K25&gt;=P$10,$K25&lt;EDATE(P$10,1)),"prévu","")))</f>
        <v/>
      </c>
      <c r="Q25" s="25" t="str">
        <f aca="false">IF($C25="","",IF(COUNTIFS(Registre!$C$11:$C$50,$A25,Registre!$B$11:$B$50,"&gt;="&amp;Q$10,Registre!$B$11:$B$50,"&lt;"&amp;EDATE(Q$10,1))&gt;0,COUNTIFS(Registre!$C$11:$C$50,$A25,Registre!$B$11:$B$50,"&gt;="&amp;Q$10,Registre!$B$11:$B$50,"&lt;"&amp;EDATE(Q$10,1)),IF(AND($K25&lt;&gt;"",$K25&gt;=Q$10,$K25&lt;EDATE(Q$10,1)),"prévu","")))</f>
        <v/>
      </c>
      <c r="R25" s="25" t="str">
        <f aca="false">IF($C25="","",IF(COUNTIFS(Registre!$C$11:$C$50,$A25,Registre!$B$11:$B$50,"&gt;="&amp;R$10,Registre!$B$11:$B$50,"&lt;"&amp;EDATE(R$10,1))&gt;0,COUNTIFS(Registre!$C$11:$C$50,$A25,Registre!$B$11:$B$50,"&gt;="&amp;R$10,Registre!$B$11:$B$50,"&lt;"&amp;EDATE(R$10,1)),IF(AND($K25&lt;&gt;"",$K25&gt;=R$10,$K25&lt;EDATE(R$10,1)),"prévu","")))</f>
        <v/>
      </c>
      <c r="S25" s="25" t="str">
        <f aca="false">IF($C25="","",IF(COUNTIFS(Registre!$C$11:$C$50,$A25,Registre!$B$11:$B$50,"&gt;="&amp;S$10,Registre!$B$11:$B$50,"&lt;"&amp;EDATE(S$10,1))&gt;0,COUNTIFS(Registre!$C$11:$C$50,$A25,Registre!$B$11:$B$50,"&gt;="&amp;S$10,Registre!$B$11:$B$50,"&lt;"&amp;EDATE(S$10,1)),IF(AND($K25&lt;&gt;"",$K25&gt;=S$10,$K25&lt;EDATE(S$10,1)),"prévu","")))</f>
        <v/>
      </c>
      <c r="T25" s="25" t="str">
        <f aca="false">IF($C25="","",IF(COUNTIFS(Registre!$C$11:$C$50,$A25,Registre!$B$11:$B$50,"&gt;="&amp;T$10,Registre!$B$11:$B$50,"&lt;"&amp;EDATE(T$10,1))&gt;0,COUNTIFS(Registre!$C$11:$C$50,$A25,Registre!$B$11:$B$50,"&gt;="&amp;T$10,Registre!$B$11:$B$50,"&lt;"&amp;EDATE(T$10,1)),IF(AND($K25&lt;&gt;"",$K25&gt;=T$10,$K25&lt;EDATE(T$10,1)),"prévu","")))</f>
        <v/>
      </c>
      <c r="U25" s="25" t="str">
        <f aca="false">IF($C25="","",IF(COUNTIFS(Registre!$C$11:$C$50,$A25,Registre!$B$11:$B$50,"&gt;="&amp;U$10,Registre!$B$11:$B$50,"&lt;"&amp;EDATE(U$10,1))&gt;0,COUNTIFS(Registre!$C$11:$C$50,$A25,Registre!$B$11:$B$50,"&gt;="&amp;U$10,Registre!$B$11:$B$50,"&lt;"&amp;EDATE(U$10,1)),IF(AND($K25&lt;&gt;"",$K25&gt;=U$10,$K25&lt;EDATE(U$10,1)),"prévu","")))</f>
        <v/>
      </c>
      <c r="V25" s="25" t="str">
        <f aca="false">IF($C25="","",IF(COUNTIFS(Registre!$C$11:$C$50,$A25,Registre!$B$11:$B$50,"&gt;="&amp;V$10,Registre!$B$11:$B$50,"&lt;"&amp;EDATE(V$10,1))&gt;0,COUNTIFS(Registre!$C$11:$C$50,$A25,Registre!$B$11:$B$50,"&gt;="&amp;V$10,Registre!$B$11:$B$50,"&lt;"&amp;EDATE(V$10,1)),IF(AND($K25&lt;&gt;"",$K25&gt;=V$10,$K25&lt;EDATE(V$10,1)),"prévu","")))</f>
        <v/>
      </c>
      <c r="W25" s="25" t="str">
        <f aca="false">IF($C25="","",IF(COUNTIFS(Registre!$C$11:$C$50,$A25,Registre!$B$11:$B$50,"&gt;="&amp;W$10,Registre!$B$11:$B$50,"&lt;"&amp;EDATE(W$10,1))&gt;0,COUNTIFS(Registre!$C$11:$C$50,$A25,Registre!$B$11:$B$50,"&gt;="&amp;W$10,Registre!$B$11:$B$50,"&lt;"&amp;EDATE(W$10,1)),IF(AND($K25&lt;&gt;"",$K25&gt;=W$10,$K25&lt;EDATE(W$10,1)),"prévu","")))</f>
        <v/>
      </c>
      <c r="X25" s="25" t="str">
        <f aca="false">IF($C25="","",IF(COUNTIFS(Registre!$C$11:$C$50,$A25,Registre!$B$11:$B$50,"&gt;="&amp;X$10,Registre!$B$11:$B$50,"&lt;"&amp;EDATE(X$10,1))&gt;0,COUNTIFS(Registre!$C$11:$C$50,$A25,Registre!$B$11:$B$50,"&gt;="&amp;X$10,Registre!$B$11:$B$50,"&lt;"&amp;EDATE(X$10,1)),IF(AND($K25&lt;&gt;"",$K25&gt;=X$10,$K25&lt;EDATE(X$10,1)),"prévu","")))</f>
        <v/>
      </c>
    </row>
    <row r="26" customFormat="false" ht="24" hidden="false" customHeight="true" outlineLevel="0" collapsed="false">
      <c r="A26" s="20" t="n">
        <v>16</v>
      </c>
      <c r="B26" s="21"/>
      <c r="C26" s="21"/>
      <c r="D26" s="21"/>
      <c r="E26" s="21"/>
      <c r="F26" s="21"/>
      <c r="G26" s="22" t="str">
        <f aca="false">IF(F26="","",IFERROR(IF(INDEX(Listes!$D$4:$D$10,MATCH(F26,Listes!$C$4:$C$10,0))="","",INDEX(Listes!$D$4:$D$10,MATCH(F26,Listes!$C$4:$C$10,0))),""))</f>
        <v/>
      </c>
      <c r="H26" s="21"/>
      <c r="I26" s="23"/>
      <c r="J26" s="24" t="str">
        <f aca="false">IF($C26="","",IFERROR(IF(SUMPRODUCT(MAX((Registre!$C$11:$C$50=$A26)*Registre!$B$11:$B$50))=0,"",SUMPRODUCT(MAX((Registre!$C$11:$C$50=$A26)*Registre!$B$11:$B$50))),""))</f>
        <v/>
      </c>
      <c r="K26" s="24" t="str">
        <f aca="false">IF(OR($C26="",G26=""),"",IF(J26&lt;&gt;"",J26+G26,IF(I26&lt;&gt;"",I26,"")))</f>
        <v/>
      </c>
      <c r="L26" s="25" t="str">
        <f aca="false">IF($C26="","",IF($F26="","Fréquence à choisir",IF(G26="","Au fil de l’eau",IF(K26="","Premier passage à planifier",IF(K26&lt;$D$4,"En retard",IF(K26&lt;=$D$4+$D$6,"Passage proche","À jour"))))))</f>
        <v/>
      </c>
      <c r="M26" s="25" t="str">
        <f aca="false">IF($C26="","",IF(COUNTIFS(Registre!$C$11:$C$50,$A26,Registre!$B$11:$B$50,"&gt;="&amp;M$10,Registre!$B$11:$B$50,"&lt;"&amp;EDATE(M$10,1))&gt;0,COUNTIFS(Registre!$C$11:$C$50,$A26,Registre!$B$11:$B$50,"&gt;="&amp;M$10,Registre!$B$11:$B$50,"&lt;"&amp;EDATE(M$10,1)),IF(AND($K26&lt;&gt;"",$K26&gt;=M$10,$K26&lt;EDATE(M$10,1)),"prévu","")))</f>
        <v/>
      </c>
      <c r="N26" s="25" t="str">
        <f aca="false">IF($C26="","",IF(COUNTIFS(Registre!$C$11:$C$50,$A26,Registre!$B$11:$B$50,"&gt;="&amp;N$10,Registre!$B$11:$B$50,"&lt;"&amp;EDATE(N$10,1))&gt;0,COUNTIFS(Registre!$C$11:$C$50,$A26,Registre!$B$11:$B$50,"&gt;="&amp;N$10,Registre!$B$11:$B$50,"&lt;"&amp;EDATE(N$10,1)),IF(AND($K26&lt;&gt;"",$K26&gt;=N$10,$K26&lt;EDATE(N$10,1)),"prévu","")))</f>
        <v/>
      </c>
      <c r="O26" s="25" t="str">
        <f aca="false">IF($C26="","",IF(COUNTIFS(Registre!$C$11:$C$50,$A26,Registre!$B$11:$B$50,"&gt;="&amp;O$10,Registre!$B$11:$B$50,"&lt;"&amp;EDATE(O$10,1))&gt;0,COUNTIFS(Registre!$C$11:$C$50,$A26,Registre!$B$11:$B$50,"&gt;="&amp;O$10,Registre!$B$11:$B$50,"&lt;"&amp;EDATE(O$10,1)),IF(AND($K26&lt;&gt;"",$K26&gt;=O$10,$K26&lt;EDATE(O$10,1)),"prévu","")))</f>
        <v/>
      </c>
      <c r="P26" s="25" t="str">
        <f aca="false">IF($C26="","",IF(COUNTIFS(Registre!$C$11:$C$50,$A26,Registre!$B$11:$B$50,"&gt;="&amp;P$10,Registre!$B$11:$B$50,"&lt;"&amp;EDATE(P$10,1))&gt;0,COUNTIFS(Registre!$C$11:$C$50,$A26,Registre!$B$11:$B$50,"&gt;="&amp;P$10,Registre!$B$11:$B$50,"&lt;"&amp;EDATE(P$10,1)),IF(AND($K26&lt;&gt;"",$K26&gt;=P$10,$K26&lt;EDATE(P$10,1)),"prévu","")))</f>
        <v/>
      </c>
      <c r="Q26" s="25" t="str">
        <f aca="false">IF($C26="","",IF(COUNTIFS(Registre!$C$11:$C$50,$A26,Registre!$B$11:$B$50,"&gt;="&amp;Q$10,Registre!$B$11:$B$50,"&lt;"&amp;EDATE(Q$10,1))&gt;0,COUNTIFS(Registre!$C$11:$C$50,$A26,Registre!$B$11:$B$50,"&gt;="&amp;Q$10,Registre!$B$11:$B$50,"&lt;"&amp;EDATE(Q$10,1)),IF(AND($K26&lt;&gt;"",$K26&gt;=Q$10,$K26&lt;EDATE(Q$10,1)),"prévu","")))</f>
        <v/>
      </c>
      <c r="R26" s="25" t="str">
        <f aca="false">IF($C26="","",IF(COUNTIFS(Registre!$C$11:$C$50,$A26,Registre!$B$11:$B$50,"&gt;="&amp;R$10,Registre!$B$11:$B$50,"&lt;"&amp;EDATE(R$10,1))&gt;0,COUNTIFS(Registre!$C$11:$C$50,$A26,Registre!$B$11:$B$50,"&gt;="&amp;R$10,Registre!$B$11:$B$50,"&lt;"&amp;EDATE(R$10,1)),IF(AND($K26&lt;&gt;"",$K26&gt;=R$10,$K26&lt;EDATE(R$10,1)),"prévu","")))</f>
        <v/>
      </c>
      <c r="S26" s="25" t="str">
        <f aca="false">IF($C26="","",IF(COUNTIFS(Registre!$C$11:$C$50,$A26,Registre!$B$11:$B$50,"&gt;="&amp;S$10,Registre!$B$11:$B$50,"&lt;"&amp;EDATE(S$10,1))&gt;0,COUNTIFS(Registre!$C$11:$C$50,$A26,Registre!$B$11:$B$50,"&gt;="&amp;S$10,Registre!$B$11:$B$50,"&lt;"&amp;EDATE(S$10,1)),IF(AND($K26&lt;&gt;"",$K26&gt;=S$10,$K26&lt;EDATE(S$10,1)),"prévu","")))</f>
        <v/>
      </c>
      <c r="T26" s="25" t="str">
        <f aca="false">IF($C26="","",IF(COUNTIFS(Registre!$C$11:$C$50,$A26,Registre!$B$11:$B$50,"&gt;="&amp;T$10,Registre!$B$11:$B$50,"&lt;"&amp;EDATE(T$10,1))&gt;0,COUNTIFS(Registre!$C$11:$C$50,$A26,Registre!$B$11:$B$50,"&gt;="&amp;T$10,Registre!$B$11:$B$50,"&lt;"&amp;EDATE(T$10,1)),IF(AND($K26&lt;&gt;"",$K26&gt;=T$10,$K26&lt;EDATE(T$10,1)),"prévu","")))</f>
        <v/>
      </c>
      <c r="U26" s="25" t="str">
        <f aca="false">IF($C26="","",IF(COUNTIFS(Registre!$C$11:$C$50,$A26,Registre!$B$11:$B$50,"&gt;="&amp;U$10,Registre!$B$11:$B$50,"&lt;"&amp;EDATE(U$10,1))&gt;0,COUNTIFS(Registre!$C$11:$C$50,$A26,Registre!$B$11:$B$50,"&gt;="&amp;U$10,Registre!$B$11:$B$50,"&lt;"&amp;EDATE(U$10,1)),IF(AND($K26&lt;&gt;"",$K26&gt;=U$10,$K26&lt;EDATE(U$10,1)),"prévu","")))</f>
        <v/>
      </c>
      <c r="V26" s="25" t="str">
        <f aca="false">IF($C26="","",IF(COUNTIFS(Registre!$C$11:$C$50,$A26,Registre!$B$11:$B$50,"&gt;="&amp;V$10,Registre!$B$11:$B$50,"&lt;"&amp;EDATE(V$10,1))&gt;0,COUNTIFS(Registre!$C$11:$C$50,$A26,Registre!$B$11:$B$50,"&gt;="&amp;V$10,Registre!$B$11:$B$50,"&lt;"&amp;EDATE(V$10,1)),IF(AND($K26&lt;&gt;"",$K26&gt;=V$10,$K26&lt;EDATE(V$10,1)),"prévu","")))</f>
        <v/>
      </c>
      <c r="W26" s="25" t="str">
        <f aca="false">IF($C26="","",IF(COUNTIFS(Registre!$C$11:$C$50,$A26,Registre!$B$11:$B$50,"&gt;="&amp;W$10,Registre!$B$11:$B$50,"&lt;"&amp;EDATE(W$10,1))&gt;0,COUNTIFS(Registre!$C$11:$C$50,$A26,Registre!$B$11:$B$50,"&gt;="&amp;W$10,Registre!$B$11:$B$50,"&lt;"&amp;EDATE(W$10,1)),IF(AND($K26&lt;&gt;"",$K26&gt;=W$10,$K26&lt;EDATE(W$10,1)),"prévu","")))</f>
        <v/>
      </c>
      <c r="X26" s="25" t="str">
        <f aca="false">IF($C26="","",IF(COUNTIFS(Registre!$C$11:$C$50,$A26,Registre!$B$11:$B$50,"&gt;="&amp;X$10,Registre!$B$11:$B$50,"&lt;"&amp;EDATE(X$10,1))&gt;0,COUNTIFS(Registre!$C$11:$C$50,$A26,Registre!$B$11:$B$50,"&gt;="&amp;X$10,Registre!$B$11:$B$50,"&lt;"&amp;EDATE(X$10,1)),IF(AND($K26&lt;&gt;"",$K26&gt;=X$10,$K26&lt;EDATE(X$10,1)),"prévu","")))</f>
        <v/>
      </c>
    </row>
    <row r="27" customFormat="false" ht="24" hidden="false" customHeight="true" outlineLevel="0" collapsed="false">
      <c r="A27" s="20" t="n">
        <v>17</v>
      </c>
      <c r="B27" s="21"/>
      <c r="C27" s="21"/>
      <c r="D27" s="21"/>
      <c r="E27" s="21"/>
      <c r="F27" s="21"/>
      <c r="G27" s="22" t="str">
        <f aca="false">IF(F27="","",IFERROR(IF(INDEX(Listes!$D$4:$D$10,MATCH(F27,Listes!$C$4:$C$10,0))="","",INDEX(Listes!$D$4:$D$10,MATCH(F27,Listes!$C$4:$C$10,0))),""))</f>
        <v/>
      </c>
      <c r="H27" s="21"/>
      <c r="I27" s="23"/>
      <c r="J27" s="24" t="str">
        <f aca="false">IF($C27="","",IFERROR(IF(SUMPRODUCT(MAX((Registre!$C$11:$C$50=$A27)*Registre!$B$11:$B$50))=0,"",SUMPRODUCT(MAX((Registre!$C$11:$C$50=$A27)*Registre!$B$11:$B$50))),""))</f>
        <v/>
      </c>
      <c r="K27" s="24" t="str">
        <f aca="false">IF(OR($C27="",G27=""),"",IF(J27&lt;&gt;"",J27+G27,IF(I27&lt;&gt;"",I27,"")))</f>
        <v/>
      </c>
      <c r="L27" s="25" t="str">
        <f aca="false">IF($C27="","",IF($F27="","Fréquence à choisir",IF(G27="","Au fil de l’eau",IF(K27="","Premier passage à planifier",IF(K27&lt;$D$4,"En retard",IF(K27&lt;=$D$4+$D$6,"Passage proche","À jour"))))))</f>
        <v/>
      </c>
      <c r="M27" s="25" t="str">
        <f aca="false">IF($C27="","",IF(COUNTIFS(Registre!$C$11:$C$50,$A27,Registre!$B$11:$B$50,"&gt;="&amp;M$10,Registre!$B$11:$B$50,"&lt;"&amp;EDATE(M$10,1))&gt;0,COUNTIFS(Registre!$C$11:$C$50,$A27,Registre!$B$11:$B$50,"&gt;="&amp;M$10,Registre!$B$11:$B$50,"&lt;"&amp;EDATE(M$10,1)),IF(AND($K27&lt;&gt;"",$K27&gt;=M$10,$K27&lt;EDATE(M$10,1)),"prévu","")))</f>
        <v/>
      </c>
      <c r="N27" s="25" t="str">
        <f aca="false">IF($C27="","",IF(COUNTIFS(Registre!$C$11:$C$50,$A27,Registre!$B$11:$B$50,"&gt;="&amp;N$10,Registre!$B$11:$B$50,"&lt;"&amp;EDATE(N$10,1))&gt;0,COUNTIFS(Registre!$C$11:$C$50,$A27,Registre!$B$11:$B$50,"&gt;="&amp;N$10,Registre!$B$11:$B$50,"&lt;"&amp;EDATE(N$10,1)),IF(AND($K27&lt;&gt;"",$K27&gt;=N$10,$K27&lt;EDATE(N$10,1)),"prévu","")))</f>
        <v/>
      </c>
      <c r="O27" s="25" t="str">
        <f aca="false">IF($C27="","",IF(COUNTIFS(Registre!$C$11:$C$50,$A27,Registre!$B$11:$B$50,"&gt;="&amp;O$10,Registre!$B$11:$B$50,"&lt;"&amp;EDATE(O$10,1))&gt;0,COUNTIFS(Registre!$C$11:$C$50,$A27,Registre!$B$11:$B$50,"&gt;="&amp;O$10,Registre!$B$11:$B$50,"&lt;"&amp;EDATE(O$10,1)),IF(AND($K27&lt;&gt;"",$K27&gt;=O$10,$K27&lt;EDATE(O$10,1)),"prévu","")))</f>
        <v/>
      </c>
      <c r="P27" s="25" t="str">
        <f aca="false">IF($C27="","",IF(COUNTIFS(Registre!$C$11:$C$50,$A27,Registre!$B$11:$B$50,"&gt;="&amp;P$10,Registre!$B$11:$B$50,"&lt;"&amp;EDATE(P$10,1))&gt;0,COUNTIFS(Registre!$C$11:$C$50,$A27,Registre!$B$11:$B$50,"&gt;="&amp;P$10,Registre!$B$11:$B$50,"&lt;"&amp;EDATE(P$10,1)),IF(AND($K27&lt;&gt;"",$K27&gt;=P$10,$K27&lt;EDATE(P$10,1)),"prévu","")))</f>
        <v/>
      </c>
      <c r="Q27" s="25" t="str">
        <f aca="false">IF($C27="","",IF(COUNTIFS(Registre!$C$11:$C$50,$A27,Registre!$B$11:$B$50,"&gt;="&amp;Q$10,Registre!$B$11:$B$50,"&lt;"&amp;EDATE(Q$10,1))&gt;0,COUNTIFS(Registre!$C$11:$C$50,$A27,Registre!$B$11:$B$50,"&gt;="&amp;Q$10,Registre!$B$11:$B$50,"&lt;"&amp;EDATE(Q$10,1)),IF(AND($K27&lt;&gt;"",$K27&gt;=Q$10,$K27&lt;EDATE(Q$10,1)),"prévu","")))</f>
        <v/>
      </c>
      <c r="R27" s="25" t="str">
        <f aca="false">IF($C27="","",IF(COUNTIFS(Registre!$C$11:$C$50,$A27,Registre!$B$11:$B$50,"&gt;="&amp;R$10,Registre!$B$11:$B$50,"&lt;"&amp;EDATE(R$10,1))&gt;0,COUNTIFS(Registre!$C$11:$C$50,$A27,Registre!$B$11:$B$50,"&gt;="&amp;R$10,Registre!$B$11:$B$50,"&lt;"&amp;EDATE(R$10,1)),IF(AND($K27&lt;&gt;"",$K27&gt;=R$10,$K27&lt;EDATE(R$10,1)),"prévu","")))</f>
        <v/>
      </c>
      <c r="S27" s="25" t="str">
        <f aca="false">IF($C27="","",IF(COUNTIFS(Registre!$C$11:$C$50,$A27,Registre!$B$11:$B$50,"&gt;="&amp;S$10,Registre!$B$11:$B$50,"&lt;"&amp;EDATE(S$10,1))&gt;0,COUNTIFS(Registre!$C$11:$C$50,$A27,Registre!$B$11:$B$50,"&gt;="&amp;S$10,Registre!$B$11:$B$50,"&lt;"&amp;EDATE(S$10,1)),IF(AND($K27&lt;&gt;"",$K27&gt;=S$10,$K27&lt;EDATE(S$10,1)),"prévu","")))</f>
        <v/>
      </c>
      <c r="T27" s="25" t="str">
        <f aca="false">IF($C27="","",IF(COUNTIFS(Registre!$C$11:$C$50,$A27,Registre!$B$11:$B$50,"&gt;="&amp;T$10,Registre!$B$11:$B$50,"&lt;"&amp;EDATE(T$10,1))&gt;0,COUNTIFS(Registre!$C$11:$C$50,$A27,Registre!$B$11:$B$50,"&gt;="&amp;T$10,Registre!$B$11:$B$50,"&lt;"&amp;EDATE(T$10,1)),IF(AND($K27&lt;&gt;"",$K27&gt;=T$10,$K27&lt;EDATE(T$10,1)),"prévu","")))</f>
        <v/>
      </c>
      <c r="U27" s="25" t="str">
        <f aca="false">IF($C27="","",IF(COUNTIFS(Registre!$C$11:$C$50,$A27,Registre!$B$11:$B$50,"&gt;="&amp;U$10,Registre!$B$11:$B$50,"&lt;"&amp;EDATE(U$10,1))&gt;0,COUNTIFS(Registre!$C$11:$C$50,$A27,Registre!$B$11:$B$50,"&gt;="&amp;U$10,Registre!$B$11:$B$50,"&lt;"&amp;EDATE(U$10,1)),IF(AND($K27&lt;&gt;"",$K27&gt;=U$10,$K27&lt;EDATE(U$10,1)),"prévu","")))</f>
        <v/>
      </c>
      <c r="V27" s="25" t="str">
        <f aca="false">IF($C27="","",IF(COUNTIFS(Registre!$C$11:$C$50,$A27,Registre!$B$11:$B$50,"&gt;="&amp;V$10,Registre!$B$11:$B$50,"&lt;"&amp;EDATE(V$10,1))&gt;0,COUNTIFS(Registre!$C$11:$C$50,$A27,Registre!$B$11:$B$50,"&gt;="&amp;V$10,Registre!$B$11:$B$50,"&lt;"&amp;EDATE(V$10,1)),IF(AND($K27&lt;&gt;"",$K27&gt;=V$10,$K27&lt;EDATE(V$10,1)),"prévu","")))</f>
        <v/>
      </c>
      <c r="W27" s="25" t="str">
        <f aca="false">IF($C27="","",IF(COUNTIFS(Registre!$C$11:$C$50,$A27,Registre!$B$11:$B$50,"&gt;="&amp;W$10,Registre!$B$11:$B$50,"&lt;"&amp;EDATE(W$10,1))&gt;0,COUNTIFS(Registre!$C$11:$C$50,$A27,Registre!$B$11:$B$50,"&gt;="&amp;W$10,Registre!$B$11:$B$50,"&lt;"&amp;EDATE(W$10,1)),IF(AND($K27&lt;&gt;"",$K27&gt;=W$10,$K27&lt;EDATE(W$10,1)),"prévu","")))</f>
        <v/>
      </c>
      <c r="X27" s="25" t="str">
        <f aca="false">IF($C27="","",IF(COUNTIFS(Registre!$C$11:$C$50,$A27,Registre!$B$11:$B$50,"&gt;="&amp;X$10,Registre!$B$11:$B$50,"&lt;"&amp;EDATE(X$10,1))&gt;0,COUNTIFS(Registre!$C$11:$C$50,$A27,Registre!$B$11:$B$50,"&gt;="&amp;X$10,Registre!$B$11:$B$50,"&lt;"&amp;EDATE(X$10,1)),IF(AND($K27&lt;&gt;"",$K27&gt;=X$10,$K27&lt;EDATE(X$10,1)),"prévu","")))</f>
        <v/>
      </c>
    </row>
    <row r="28" customFormat="false" ht="24" hidden="false" customHeight="true" outlineLevel="0" collapsed="false">
      <c r="A28" s="20" t="n">
        <v>18</v>
      </c>
      <c r="B28" s="21"/>
      <c r="C28" s="21"/>
      <c r="D28" s="21"/>
      <c r="E28" s="21"/>
      <c r="F28" s="21"/>
      <c r="G28" s="22" t="str">
        <f aca="false">IF(F28="","",IFERROR(IF(INDEX(Listes!$D$4:$D$10,MATCH(F28,Listes!$C$4:$C$10,0))="","",INDEX(Listes!$D$4:$D$10,MATCH(F28,Listes!$C$4:$C$10,0))),""))</f>
        <v/>
      </c>
      <c r="H28" s="21"/>
      <c r="I28" s="23"/>
      <c r="J28" s="24" t="str">
        <f aca="false">IF($C28="","",IFERROR(IF(SUMPRODUCT(MAX((Registre!$C$11:$C$50=$A28)*Registre!$B$11:$B$50))=0,"",SUMPRODUCT(MAX((Registre!$C$11:$C$50=$A28)*Registre!$B$11:$B$50))),""))</f>
        <v/>
      </c>
      <c r="K28" s="24" t="str">
        <f aca="false">IF(OR($C28="",G28=""),"",IF(J28&lt;&gt;"",J28+G28,IF(I28&lt;&gt;"",I28,"")))</f>
        <v/>
      </c>
      <c r="L28" s="25" t="str">
        <f aca="false">IF($C28="","",IF($F28="","Fréquence à choisir",IF(G28="","Au fil de l’eau",IF(K28="","Premier passage à planifier",IF(K28&lt;$D$4,"En retard",IF(K28&lt;=$D$4+$D$6,"Passage proche","À jour"))))))</f>
        <v/>
      </c>
      <c r="M28" s="25" t="str">
        <f aca="false">IF($C28="","",IF(COUNTIFS(Registre!$C$11:$C$50,$A28,Registre!$B$11:$B$50,"&gt;="&amp;M$10,Registre!$B$11:$B$50,"&lt;"&amp;EDATE(M$10,1))&gt;0,COUNTIFS(Registre!$C$11:$C$50,$A28,Registre!$B$11:$B$50,"&gt;="&amp;M$10,Registre!$B$11:$B$50,"&lt;"&amp;EDATE(M$10,1)),IF(AND($K28&lt;&gt;"",$K28&gt;=M$10,$K28&lt;EDATE(M$10,1)),"prévu","")))</f>
        <v/>
      </c>
      <c r="N28" s="25" t="str">
        <f aca="false">IF($C28="","",IF(COUNTIFS(Registre!$C$11:$C$50,$A28,Registre!$B$11:$B$50,"&gt;="&amp;N$10,Registre!$B$11:$B$50,"&lt;"&amp;EDATE(N$10,1))&gt;0,COUNTIFS(Registre!$C$11:$C$50,$A28,Registre!$B$11:$B$50,"&gt;="&amp;N$10,Registre!$B$11:$B$50,"&lt;"&amp;EDATE(N$10,1)),IF(AND($K28&lt;&gt;"",$K28&gt;=N$10,$K28&lt;EDATE(N$10,1)),"prévu","")))</f>
        <v/>
      </c>
      <c r="O28" s="25" t="str">
        <f aca="false">IF($C28="","",IF(COUNTIFS(Registre!$C$11:$C$50,$A28,Registre!$B$11:$B$50,"&gt;="&amp;O$10,Registre!$B$11:$B$50,"&lt;"&amp;EDATE(O$10,1))&gt;0,COUNTIFS(Registre!$C$11:$C$50,$A28,Registre!$B$11:$B$50,"&gt;="&amp;O$10,Registre!$B$11:$B$50,"&lt;"&amp;EDATE(O$10,1)),IF(AND($K28&lt;&gt;"",$K28&gt;=O$10,$K28&lt;EDATE(O$10,1)),"prévu","")))</f>
        <v/>
      </c>
      <c r="P28" s="25" t="str">
        <f aca="false">IF($C28="","",IF(COUNTIFS(Registre!$C$11:$C$50,$A28,Registre!$B$11:$B$50,"&gt;="&amp;P$10,Registre!$B$11:$B$50,"&lt;"&amp;EDATE(P$10,1))&gt;0,COUNTIFS(Registre!$C$11:$C$50,$A28,Registre!$B$11:$B$50,"&gt;="&amp;P$10,Registre!$B$11:$B$50,"&lt;"&amp;EDATE(P$10,1)),IF(AND($K28&lt;&gt;"",$K28&gt;=P$10,$K28&lt;EDATE(P$10,1)),"prévu","")))</f>
        <v/>
      </c>
      <c r="Q28" s="25" t="str">
        <f aca="false">IF($C28="","",IF(COUNTIFS(Registre!$C$11:$C$50,$A28,Registre!$B$11:$B$50,"&gt;="&amp;Q$10,Registre!$B$11:$B$50,"&lt;"&amp;EDATE(Q$10,1))&gt;0,COUNTIFS(Registre!$C$11:$C$50,$A28,Registre!$B$11:$B$50,"&gt;="&amp;Q$10,Registre!$B$11:$B$50,"&lt;"&amp;EDATE(Q$10,1)),IF(AND($K28&lt;&gt;"",$K28&gt;=Q$10,$K28&lt;EDATE(Q$10,1)),"prévu","")))</f>
        <v/>
      </c>
      <c r="R28" s="25" t="str">
        <f aca="false">IF($C28="","",IF(COUNTIFS(Registre!$C$11:$C$50,$A28,Registre!$B$11:$B$50,"&gt;="&amp;R$10,Registre!$B$11:$B$50,"&lt;"&amp;EDATE(R$10,1))&gt;0,COUNTIFS(Registre!$C$11:$C$50,$A28,Registre!$B$11:$B$50,"&gt;="&amp;R$10,Registre!$B$11:$B$50,"&lt;"&amp;EDATE(R$10,1)),IF(AND($K28&lt;&gt;"",$K28&gt;=R$10,$K28&lt;EDATE(R$10,1)),"prévu","")))</f>
        <v/>
      </c>
      <c r="S28" s="25" t="str">
        <f aca="false">IF($C28="","",IF(COUNTIFS(Registre!$C$11:$C$50,$A28,Registre!$B$11:$B$50,"&gt;="&amp;S$10,Registre!$B$11:$B$50,"&lt;"&amp;EDATE(S$10,1))&gt;0,COUNTIFS(Registre!$C$11:$C$50,$A28,Registre!$B$11:$B$50,"&gt;="&amp;S$10,Registre!$B$11:$B$50,"&lt;"&amp;EDATE(S$10,1)),IF(AND($K28&lt;&gt;"",$K28&gt;=S$10,$K28&lt;EDATE(S$10,1)),"prévu","")))</f>
        <v/>
      </c>
      <c r="T28" s="25" t="str">
        <f aca="false">IF($C28="","",IF(COUNTIFS(Registre!$C$11:$C$50,$A28,Registre!$B$11:$B$50,"&gt;="&amp;T$10,Registre!$B$11:$B$50,"&lt;"&amp;EDATE(T$10,1))&gt;0,COUNTIFS(Registre!$C$11:$C$50,$A28,Registre!$B$11:$B$50,"&gt;="&amp;T$10,Registre!$B$11:$B$50,"&lt;"&amp;EDATE(T$10,1)),IF(AND($K28&lt;&gt;"",$K28&gt;=T$10,$K28&lt;EDATE(T$10,1)),"prévu","")))</f>
        <v/>
      </c>
      <c r="U28" s="25" t="str">
        <f aca="false">IF($C28="","",IF(COUNTIFS(Registre!$C$11:$C$50,$A28,Registre!$B$11:$B$50,"&gt;="&amp;U$10,Registre!$B$11:$B$50,"&lt;"&amp;EDATE(U$10,1))&gt;0,COUNTIFS(Registre!$C$11:$C$50,$A28,Registre!$B$11:$B$50,"&gt;="&amp;U$10,Registre!$B$11:$B$50,"&lt;"&amp;EDATE(U$10,1)),IF(AND($K28&lt;&gt;"",$K28&gt;=U$10,$K28&lt;EDATE(U$10,1)),"prévu","")))</f>
        <v/>
      </c>
      <c r="V28" s="25" t="str">
        <f aca="false">IF($C28="","",IF(COUNTIFS(Registre!$C$11:$C$50,$A28,Registre!$B$11:$B$50,"&gt;="&amp;V$10,Registre!$B$11:$B$50,"&lt;"&amp;EDATE(V$10,1))&gt;0,COUNTIFS(Registre!$C$11:$C$50,$A28,Registre!$B$11:$B$50,"&gt;="&amp;V$10,Registre!$B$11:$B$50,"&lt;"&amp;EDATE(V$10,1)),IF(AND($K28&lt;&gt;"",$K28&gt;=V$10,$K28&lt;EDATE(V$10,1)),"prévu","")))</f>
        <v/>
      </c>
      <c r="W28" s="25" t="str">
        <f aca="false">IF($C28="","",IF(COUNTIFS(Registre!$C$11:$C$50,$A28,Registre!$B$11:$B$50,"&gt;="&amp;W$10,Registre!$B$11:$B$50,"&lt;"&amp;EDATE(W$10,1))&gt;0,COUNTIFS(Registre!$C$11:$C$50,$A28,Registre!$B$11:$B$50,"&gt;="&amp;W$10,Registre!$B$11:$B$50,"&lt;"&amp;EDATE(W$10,1)),IF(AND($K28&lt;&gt;"",$K28&gt;=W$10,$K28&lt;EDATE(W$10,1)),"prévu","")))</f>
        <v/>
      </c>
      <c r="X28" s="25" t="str">
        <f aca="false">IF($C28="","",IF(COUNTIFS(Registre!$C$11:$C$50,$A28,Registre!$B$11:$B$50,"&gt;="&amp;X$10,Registre!$B$11:$B$50,"&lt;"&amp;EDATE(X$10,1))&gt;0,COUNTIFS(Registre!$C$11:$C$50,$A28,Registre!$B$11:$B$50,"&gt;="&amp;X$10,Registre!$B$11:$B$50,"&lt;"&amp;EDATE(X$10,1)),IF(AND($K28&lt;&gt;"",$K28&gt;=X$10,$K28&lt;EDATE(X$10,1)),"prévu","")))</f>
        <v/>
      </c>
    </row>
    <row r="29" customFormat="false" ht="24" hidden="false" customHeight="true" outlineLevel="0" collapsed="false">
      <c r="A29" s="20" t="n">
        <v>19</v>
      </c>
      <c r="B29" s="21"/>
      <c r="C29" s="21"/>
      <c r="D29" s="21"/>
      <c r="E29" s="21"/>
      <c r="F29" s="21"/>
      <c r="G29" s="22" t="str">
        <f aca="false">IF(F29="","",IFERROR(IF(INDEX(Listes!$D$4:$D$10,MATCH(F29,Listes!$C$4:$C$10,0))="","",INDEX(Listes!$D$4:$D$10,MATCH(F29,Listes!$C$4:$C$10,0))),""))</f>
        <v/>
      </c>
      <c r="H29" s="21"/>
      <c r="I29" s="23"/>
      <c r="J29" s="24" t="str">
        <f aca="false">IF($C29="","",IFERROR(IF(SUMPRODUCT(MAX((Registre!$C$11:$C$50=$A29)*Registre!$B$11:$B$50))=0,"",SUMPRODUCT(MAX((Registre!$C$11:$C$50=$A29)*Registre!$B$11:$B$50))),""))</f>
        <v/>
      </c>
      <c r="K29" s="24" t="str">
        <f aca="false">IF(OR($C29="",G29=""),"",IF(J29&lt;&gt;"",J29+G29,IF(I29&lt;&gt;"",I29,"")))</f>
        <v/>
      </c>
      <c r="L29" s="25" t="str">
        <f aca="false">IF($C29="","",IF($F29="","Fréquence à choisir",IF(G29="","Au fil de l’eau",IF(K29="","Premier passage à planifier",IF(K29&lt;$D$4,"En retard",IF(K29&lt;=$D$4+$D$6,"Passage proche","À jour"))))))</f>
        <v/>
      </c>
      <c r="M29" s="25" t="str">
        <f aca="false">IF($C29="","",IF(COUNTIFS(Registre!$C$11:$C$50,$A29,Registre!$B$11:$B$50,"&gt;="&amp;M$10,Registre!$B$11:$B$50,"&lt;"&amp;EDATE(M$10,1))&gt;0,COUNTIFS(Registre!$C$11:$C$50,$A29,Registre!$B$11:$B$50,"&gt;="&amp;M$10,Registre!$B$11:$B$50,"&lt;"&amp;EDATE(M$10,1)),IF(AND($K29&lt;&gt;"",$K29&gt;=M$10,$K29&lt;EDATE(M$10,1)),"prévu","")))</f>
        <v/>
      </c>
      <c r="N29" s="25" t="str">
        <f aca="false">IF($C29="","",IF(COUNTIFS(Registre!$C$11:$C$50,$A29,Registre!$B$11:$B$50,"&gt;="&amp;N$10,Registre!$B$11:$B$50,"&lt;"&amp;EDATE(N$10,1))&gt;0,COUNTIFS(Registre!$C$11:$C$50,$A29,Registre!$B$11:$B$50,"&gt;="&amp;N$10,Registre!$B$11:$B$50,"&lt;"&amp;EDATE(N$10,1)),IF(AND($K29&lt;&gt;"",$K29&gt;=N$10,$K29&lt;EDATE(N$10,1)),"prévu","")))</f>
        <v/>
      </c>
      <c r="O29" s="25" t="str">
        <f aca="false">IF($C29="","",IF(COUNTIFS(Registre!$C$11:$C$50,$A29,Registre!$B$11:$B$50,"&gt;="&amp;O$10,Registre!$B$11:$B$50,"&lt;"&amp;EDATE(O$10,1))&gt;0,COUNTIFS(Registre!$C$11:$C$50,$A29,Registre!$B$11:$B$50,"&gt;="&amp;O$10,Registre!$B$11:$B$50,"&lt;"&amp;EDATE(O$10,1)),IF(AND($K29&lt;&gt;"",$K29&gt;=O$10,$K29&lt;EDATE(O$10,1)),"prévu","")))</f>
        <v/>
      </c>
      <c r="P29" s="25" t="str">
        <f aca="false">IF($C29="","",IF(COUNTIFS(Registre!$C$11:$C$50,$A29,Registre!$B$11:$B$50,"&gt;="&amp;P$10,Registre!$B$11:$B$50,"&lt;"&amp;EDATE(P$10,1))&gt;0,COUNTIFS(Registre!$C$11:$C$50,$A29,Registre!$B$11:$B$50,"&gt;="&amp;P$10,Registre!$B$11:$B$50,"&lt;"&amp;EDATE(P$10,1)),IF(AND($K29&lt;&gt;"",$K29&gt;=P$10,$K29&lt;EDATE(P$10,1)),"prévu","")))</f>
        <v/>
      </c>
      <c r="Q29" s="25" t="str">
        <f aca="false">IF($C29="","",IF(COUNTIFS(Registre!$C$11:$C$50,$A29,Registre!$B$11:$B$50,"&gt;="&amp;Q$10,Registre!$B$11:$B$50,"&lt;"&amp;EDATE(Q$10,1))&gt;0,COUNTIFS(Registre!$C$11:$C$50,$A29,Registre!$B$11:$B$50,"&gt;="&amp;Q$10,Registre!$B$11:$B$50,"&lt;"&amp;EDATE(Q$10,1)),IF(AND($K29&lt;&gt;"",$K29&gt;=Q$10,$K29&lt;EDATE(Q$10,1)),"prévu","")))</f>
        <v/>
      </c>
      <c r="R29" s="25" t="str">
        <f aca="false">IF($C29="","",IF(COUNTIFS(Registre!$C$11:$C$50,$A29,Registre!$B$11:$B$50,"&gt;="&amp;R$10,Registre!$B$11:$B$50,"&lt;"&amp;EDATE(R$10,1))&gt;0,COUNTIFS(Registre!$C$11:$C$50,$A29,Registre!$B$11:$B$50,"&gt;="&amp;R$10,Registre!$B$11:$B$50,"&lt;"&amp;EDATE(R$10,1)),IF(AND($K29&lt;&gt;"",$K29&gt;=R$10,$K29&lt;EDATE(R$10,1)),"prévu","")))</f>
        <v/>
      </c>
      <c r="S29" s="25" t="str">
        <f aca="false">IF($C29="","",IF(COUNTIFS(Registre!$C$11:$C$50,$A29,Registre!$B$11:$B$50,"&gt;="&amp;S$10,Registre!$B$11:$B$50,"&lt;"&amp;EDATE(S$10,1))&gt;0,COUNTIFS(Registre!$C$11:$C$50,$A29,Registre!$B$11:$B$50,"&gt;="&amp;S$10,Registre!$B$11:$B$50,"&lt;"&amp;EDATE(S$10,1)),IF(AND($K29&lt;&gt;"",$K29&gt;=S$10,$K29&lt;EDATE(S$10,1)),"prévu","")))</f>
        <v/>
      </c>
      <c r="T29" s="25" t="str">
        <f aca="false">IF($C29="","",IF(COUNTIFS(Registre!$C$11:$C$50,$A29,Registre!$B$11:$B$50,"&gt;="&amp;T$10,Registre!$B$11:$B$50,"&lt;"&amp;EDATE(T$10,1))&gt;0,COUNTIFS(Registre!$C$11:$C$50,$A29,Registre!$B$11:$B$50,"&gt;="&amp;T$10,Registre!$B$11:$B$50,"&lt;"&amp;EDATE(T$10,1)),IF(AND($K29&lt;&gt;"",$K29&gt;=T$10,$K29&lt;EDATE(T$10,1)),"prévu","")))</f>
        <v/>
      </c>
      <c r="U29" s="25" t="str">
        <f aca="false">IF($C29="","",IF(COUNTIFS(Registre!$C$11:$C$50,$A29,Registre!$B$11:$B$50,"&gt;="&amp;U$10,Registre!$B$11:$B$50,"&lt;"&amp;EDATE(U$10,1))&gt;0,COUNTIFS(Registre!$C$11:$C$50,$A29,Registre!$B$11:$B$50,"&gt;="&amp;U$10,Registre!$B$11:$B$50,"&lt;"&amp;EDATE(U$10,1)),IF(AND($K29&lt;&gt;"",$K29&gt;=U$10,$K29&lt;EDATE(U$10,1)),"prévu","")))</f>
        <v/>
      </c>
      <c r="V29" s="25" t="str">
        <f aca="false">IF($C29="","",IF(COUNTIFS(Registre!$C$11:$C$50,$A29,Registre!$B$11:$B$50,"&gt;="&amp;V$10,Registre!$B$11:$B$50,"&lt;"&amp;EDATE(V$10,1))&gt;0,COUNTIFS(Registre!$C$11:$C$50,$A29,Registre!$B$11:$B$50,"&gt;="&amp;V$10,Registre!$B$11:$B$50,"&lt;"&amp;EDATE(V$10,1)),IF(AND($K29&lt;&gt;"",$K29&gt;=V$10,$K29&lt;EDATE(V$10,1)),"prévu","")))</f>
        <v/>
      </c>
      <c r="W29" s="25" t="str">
        <f aca="false">IF($C29="","",IF(COUNTIFS(Registre!$C$11:$C$50,$A29,Registre!$B$11:$B$50,"&gt;="&amp;W$10,Registre!$B$11:$B$50,"&lt;"&amp;EDATE(W$10,1))&gt;0,COUNTIFS(Registre!$C$11:$C$50,$A29,Registre!$B$11:$B$50,"&gt;="&amp;W$10,Registre!$B$11:$B$50,"&lt;"&amp;EDATE(W$10,1)),IF(AND($K29&lt;&gt;"",$K29&gt;=W$10,$K29&lt;EDATE(W$10,1)),"prévu","")))</f>
        <v/>
      </c>
      <c r="X29" s="25" t="str">
        <f aca="false">IF($C29="","",IF(COUNTIFS(Registre!$C$11:$C$50,$A29,Registre!$B$11:$B$50,"&gt;="&amp;X$10,Registre!$B$11:$B$50,"&lt;"&amp;EDATE(X$10,1))&gt;0,COUNTIFS(Registre!$C$11:$C$50,$A29,Registre!$B$11:$B$50,"&gt;="&amp;X$10,Registre!$B$11:$B$50,"&lt;"&amp;EDATE(X$10,1)),IF(AND($K29&lt;&gt;"",$K29&gt;=X$10,$K29&lt;EDATE(X$10,1)),"prévu","")))</f>
        <v/>
      </c>
    </row>
    <row r="30" customFormat="false" ht="24" hidden="false" customHeight="true" outlineLevel="0" collapsed="false">
      <c r="A30" s="20" t="n">
        <v>20</v>
      </c>
      <c r="B30" s="21"/>
      <c r="C30" s="21"/>
      <c r="D30" s="21"/>
      <c r="E30" s="21"/>
      <c r="F30" s="21"/>
      <c r="G30" s="22" t="str">
        <f aca="false">IF(F30="","",IFERROR(IF(INDEX(Listes!$D$4:$D$10,MATCH(F30,Listes!$C$4:$C$10,0))="","",INDEX(Listes!$D$4:$D$10,MATCH(F30,Listes!$C$4:$C$10,0))),""))</f>
        <v/>
      </c>
      <c r="H30" s="21"/>
      <c r="I30" s="23"/>
      <c r="J30" s="24" t="str">
        <f aca="false">IF($C30="","",IFERROR(IF(SUMPRODUCT(MAX((Registre!$C$11:$C$50=$A30)*Registre!$B$11:$B$50))=0,"",SUMPRODUCT(MAX((Registre!$C$11:$C$50=$A30)*Registre!$B$11:$B$50))),""))</f>
        <v/>
      </c>
      <c r="K30" s="24" t="str">
        <f aca="false">IF(OR($C30="",G30=""),"",IF(J30&lt;&gt;"",J30+G30,IF(I30&lt;&gt;"",I30,"")))</f>
        <v/>
      </c>
      <c r="L30" s="25" t="str">
        <f aca="false">IF($C30="","",IF($F30="","Fréquence à choisir",IF(G30="","Au fil de l’eau",IF(K30="","Premier passage à planifier",IF(K30&lt;$D$4,"En retard",IF(K30&lt;=$D$4+$D$6,"Passage proche","À jour"))))))</f>
        <v/>
      </c>
      <c r="M30" s="25" t="str">
        <f aca="false">IF($C30="","",IF(COUNTIFS(Registre!$C$11:$C$50,$A30,Registre!$B$11:$B$50,"&gt;="&amp;M$10,Registre!$B$11:$B$50,"&lt;"&amp;EDATE(M$10,1))&gt;0,COUNTIFS(Registre!$C$11:$C$50,$A30,Registre!$B$11:$B$50,"&gt;="&amp;M$10,Registre!$B$11:$B$50,"&lt;"&amp;EDATE(M$10,1)),IF(AND($K30&lt;&gt;"",$K30&gt;=M$10,$K30&lt;EDATE(M$10,1)),"prévu","")))</f>
        <v/>
      </c>
      <c r="N30" s="25" t="str">
        <f aca="false">IF($C30="","",IF(COUNTIFS(Registre!$C$11:$C$50,$A30,Registre!$B$11:$B$50,"&gt;="&amp;N$10,Registre!$B$11:$B$50,"&lt;"&amp;EDATE(N$10,1))&gt;0,COUNTIFS(Registre!$C$11:$C$50,$A30,Registre!$B$11:$B$50,"&gt;="&amp;N$10,Registre!$B$11:$B$50,"&lt;"&amp;EDATE(N$10,1)),IF(AND($K30&lt;&gt;"",$K30&gt;=N$10,$K30&lt;EDATE(N$10,1)),"prévu","")))</f>
        <v/>
      </c>
      <c r="O30" s="25" t="str">
        <f aca="false">IF($C30="","",IF(COUNTIFS(Registre!$C$11:$C$50,$A30,Registre!$B$11:$B$50,"&gt;="&amp;O$10,Registre!$B$11:$B$50,"&lt;"&amp;EDATE(O$10,1))&gt;0,COUNTIFS(Registre!$C$11:$C$50,$A30,Registre!$B$11:$B$50,"&gt;="&amp;O$10,Registre!$B$11:$B$50,"&lt;"&amp;EDATE(O$10,1)),IF(AND($K30&lt;&gt;"",$K30&gt;=O$10,$K30&lt;EDATE(O$10,1)),"prévu","")))</f>
        <v/>
      </c>
      <c r="P30" s="25" t="str">
        <f aca="false">IF($C30="","",IF(COUNTIFS(Registre!$C$11:$C$50,$A30,Registre!$B$11:$B$50,"&gt;="&amp;P$10,Registre!$B$11:$B$50,"&lt;"&amp;EDATE(P$10,1))&gt;0,COUNTIFS(Registre!$C$11:$C$50,$A30,Registre!$B$11:$B$50,"&gt;="&amp;P$10,Registre!$B$11:$B$50,"&lt;"&amp;EDATE(P$10,1)),IF(AND($K30&lt;&gt;"",$K30&gt;=P$10,$K30&lt;EDATE(P$10,1)),"prévu","")))</f>
        <v/>
      </c>
      <c r="Q30" s="25" t="str">
        <f aca="false">IF($C30="","",IF(COUNTIFS(Registre!$C$11:$C$50,$A30,Registre!$B$11:$B$50,"&gt;="&amp;Q$10,Registre!$B$11:$B$50,"&lt;"&amp;EDATE(Q$10,1))&gt;0,COUNTIFS(Registre!$C$11:$C$50,$A30,Registre!$B$11:$B$50,"&gt;="&amp;Q$10,Registre!$B$11:$B$50,"&lt;"&amp;EDATE(Q$10,1)),IF(AND($K30&lt;&gt;"",$K30&gt;=Q$10,$K30&lt;EDATE(Q$10,1)),"prévu","")))</f>
        <v/>
      </c>
      <c r="R30" s="25" t="str">
        <f aca="false">IF($C30="","",IF(COUNTIFS(Registre!$C$11:$C$50,$A30,Registre!$B$11:$B$50,"&gt;="&amp;R$10,Registre!$B$11:$B$50,"&lt;"&amp;EDATE(R$10,1))&gt;0,COUNTIFS(Registre!$C$11:$C$50,$A30,Registre!$B$11:$B$50,"&gt;="&amp;R$10,Registre!$B$11:$B$50,"&lt;"&amp;EDATE(R$10,1)),IF(AND($K30&lt;&gt;"",$K30&gt;=R$10,$K30&lt;EDATE(R$10,1)),"prévu","")))</f>
        <v/>
      </c>
      <c r="S30" s="25" t="str">
        <f aca="false">IF($C30="","",IF(COUNTIFS(Registre!$C$11:$C$50,$A30,Registre!$B$11:$B$50,"&gt;="&amp;S$10,Registre!$B$11:$B$50,"&lt;"&amp;EDATE(S$10,1))&gt;0,COUNTIFS(Registre!$C$11:$C$50,$A30,Registre!$B$11:$B$50,"&gt;="&amp;S$10,Registre!$B$11:$B$50,"&lt;"&amp;EDATE(S$10,1)),IF(AND($K30&lt;&gt;"",$K30&gt;=S$10,$K30&lt;EDATE(S$10,1)),"prévu","")))</f>
        <v/>
      </c>
      <c r="T30" s="25" t="str">
        <f aca="false">IF($C30="","",IF(COUNTIFS(Registre!$C$11:$C$50,$A30,Registre!$B$11:$B$50,"&gt;="&amp;T$10,Registre!$B$11:$B$50,"&lt;"&amp;EDATE(T$10,1))&gt;0,COUNTIFS(Registre!$C$11:$C$50,$A30,Registre!$B$11:$B$50,"&gt;="&amp;T$10,Registre!$B$11:$B$50,"&lt;"&amp;EDATE(T$10,1)),IF(AND($K30&lt;&gt;"",$K30&gt;=T$10,$K30&lt;EDATE(T$10,1)),"prévu","")))</f>
        <v/>
      </c>
      <c r="U30" s="25" t="str">
        <f aca="false">IF($C30="","",IF(COUNTIFS(Registre!$C$11:$C$50,$A30,Registre!$B$11:$B$50,"&gt;="&amp;U$10,Registre!$B$11:$B$50,"&lt;"&amp;EDATE(U$10,1))&gt;0,COUNTIFS(Registre!$C$11:$C$50,$A30,Registre!$B$11:$B$50,"&gt;="&amp;U$10,Registre!$B$11:$B$50,"&lt;"&amp;EDATE(U$10,1)),IF(AND($K30&lt;&gt;"",$K30&gt;=U$10,$K30&lt;EDATE(U$10,1)),"prévu","")))</f>
        <v/>
      </c>
      <c r="V30" s="25" t="str">
        <f aca="false">IF($C30="","",IF(COUNTIFS(Registre!$C$11:$C$50,$A30,Registre!$B$11:$B$50,"&gt;="&amp;V$10,Registre!$B$11:$B$50,"&lt;"&amp;EDATE(V$10,1))&gt;0,COUNTIFS(Registre!$C$11:$C$50,$A30,Registre!$B$11:$B$50,"&gt;="&amp;V$10,Registre!$B$11:$B$50,"&lt;"&amp;EDATE(V$10,1)),IF(AND($K30&lt;&gt;"",$K30&gt;=V$10,$K30&lt;EDATE(V$10,1)),"prévu","")))</f>
        <v/>
      </c>
      <c r="W30" s="25" t="str">
        <f aca="false">IF($C30="","",IF(COUNTIFS(Registre!$C$11:$C$50,$A30,Registre!$B$11:$B$50,"&gt;="&amp;W$10,Registre!$B$11:$B$50,"&lt;"&amp;EDATE(W$10,1))&gt;0,COUNTIFS(Registre!$C$11:$C$50,$A30,Registre!$B$11:$B$50,"&gt;="&amp;W$10,Registre!$B$11:$B$50,"&lt;"&amp;EDATE(W$10,1)),IF(AND($K30&lt;&gt;"",$K30&gt;=W$10,$K30&lt;EDATE(W$10,1)),"prévu","")))</f>
        <v/>
      </c>
      <c r="X30" s="25" t="str">
        <f aca="false">IF($C30="","",IF(COUNTIFS(Registre!$C$11:$C$50,$A30,Registre!$B$11:$B$50,"&gt;="&amp;X$10,Registre!$B$11:$B$50,"&lt;"&amp;EDATE(X$10,1))&gt;0,COUNTIFS(Registre!$C$11:$C$50,$A30,Registre!$B$11:$B$50,"&gt;="&amp;X$10,Registre!$B$11:$B$50,"&lt;"&amp;EDATE(X$10,1)),IF(AND($K30&lt;&gt;"",$K30&gt;=X$10,$K30&lt;EDATE(X$10,1)),"prévu","")))</f>
        <v/>
      </c>
    </row>
    <row r="31" customFormat="false" ht="24" hidden="false" customHeight="true" outlineLevel="0" collapsed="false">
      <c r="A31" s="20" t="n">
        <v>21</v>
      </c>
      <c r="B31" s="21"/>
      <c r="C31" s="21"/>
      <c r="D31" s="21"/>
      <c r="E31" s="21"/>
      <c r="F31" s="21"/>
      <c r="G31" s="22" t="str">
        <f aca="false">IF(F31="","",IFERROR(IF(INDEX(Listes!$D$4:$D$10,MATCH(F31,Listes!$C$4:$C$10,0))="","",INDEX(Listes!$D$4:$D$10,MATCH(F31,Listes!$C$4:$C$10,0))),""))</f>
        <v/>
      </c>
      <c r="H31" s="21"/>
      <c r="I31" s="23"/>
      <c r="J31" s="24" t="str">
        <f aca="false">IF($C31="","",IFERROR(IF(SUMPRODUCT(MAX((Registre!$C$11:$C$50=$A31)*Registre!$B$11:$B$50))=0,"",SUMPRODUCT(MAX((Registre!$C$11:$C$50=$A31)*Registre!$B$11:$B$50))),""))</f>
        <v/>
      </c>
      <c r="K31" s="24" t="str">
        <f aca="false">IF(OR($C31="",G31=""),"",IF(J31&lt;&gt;"",J31+G31,IF(I31&lt;&gt;"",I31,"")))</f>
        <v/>
      </c>
      <c r="L31" s="25" t="str">
        <f aca="false">IF($C31="","",IF($F31="","Fréquence à choisir",IF(G31="","Au fil de l’eau",IF(K31="","Premier passage à planifier",IF(K31&lt;$D$4,"En retard",IF(K31&lt;=$D$4+$D$6,"Passage proche","À jour"))))))</f>
        <v/>
      </c>
      <c r="M31" s="25" t="str">
        <f aca="false">IF($C31="","",IF(COUNTIFS(Registre!$C$11:$C$50,$A31,Registre!$B$11:$B$50,"&gt;="&amp;M$10,Registre!$B$11:$B$50,"&lt;"&amp;EDATE(M$10,1))&gt;0,COUNTIFS(Registre!$C$11:$C$50,$A31,Registre!$B$11:$B$50,"&gt;="&amp;M$10,Registre!$B$11:$B$50,"&lt;"&amp;EDATE(M$10,1)),IF(AND($K31&lt;&gt;"",$K31&gt;=M$10,$K31&lt;EDATE(M$10,1)),"prévu","")))</f>
        <v/>
      </c>
      <c r="N31" s="25" t="str">
        <f aca="false">IF($C31="","",IF(COUNTIFS(Registre!$C$11:$C$50,$A31,Registre!$B$11:$B$50,"&gt;="&amp;N$10,Registre!$B$11:$B$50,"&lt;"&amp;EDATE(N$10,1))&gt;0,COUNTIFS(Registre!$C$11:$C$50,$A31,Registre!$B$11:$B$50,"&gt;="&amp;N$10,Registre!$B$11:$B$50,"&lt;"&amp;EDATE(N$10,1)),IF(AND($K31&lt;&gt;"",$K31&gt;=N$10,$K31&lt;EDATE(N$10,1)),"prévu","")))</f>
        <v/>
      </c>
      <c r="O31" s="25" t="str">
        <f aca="false">IF($C31="","",IF(COUNTIFS(Registre!$C$11:$C$50,$A31,Registre!$B$11:$B$50,"&gt;="&amp;O$10,Registre!$B$11:$B$50,"&lt;"&amp;EDATE(O$10,1))&gt;0,COUNTIFS(Registre!$C$11:$C$50,$A31,Registre!$B$11:$B$50,"&gt;="&amp;O$10,Registre!$B$11:$B$50,"&lt;"&amp;EDATE(O$10,1)),IF(AND($K31&lt;&gt;"",$K31&gt;=O$10,$K31&lt;EDATE(O$10,1)),"prévu","")))</f>
        <v/>
      </c>
      <c r="P31" s="25" t="str">
        <f aca="false">IF($C31="","",IF(COUNTIFS(Registre!$C$11:$C$50,$A31,Registre!$B$11:$B$50,"&gt;="&amp;P$10,Registre!$B$11:$B$50,"&lt;"&amp;EDATE(P$10,1))&gt;0,COUNTIFS(Registre!$C$11:$C$50,$A31,Registre!$B$11:$B$50,"&gt;="&amp;P$10,Registre!$B$11:$B$50,"&lt;"&amp;EDATE(P$10,1)),IF(AND($K31&lt;&gt;"",$K31&gt;=P$10,$K31&lt;EDATE(P$10,1)),"prévu","")))</f>
        <v/>
      </c>
      <c r="Q31" s="25" t="str">
        <f aca="false">IF($C31="","",IF(COUNTIFS(Registre!$C$11:$C$50,$A31,Registre!$B$11:$B$50,"&gt;="&amp;Q$10,Registre!$B$11:$B$50,"&lt;"&amp;EDATE(Q$10,1))&gt;0,COUNTIFS(Registre!$C$11:$C$50,$A31,Registre!$B$11:$B$50,"&gt;="&amp;Q$10,Registre!$B$11:$B$50,"&lt;"&amp;EDATE(Q$10,1)),IF(AND($K31&lt;&gt;"",$K31&gt;=Q$10,$K31&lt;EDATE(Q$10,1)),"prévu","")))</f>
        <v/>
      </c>
      <c r="R31" s="25" t="str">
        <f aca="false">IF($C31="","",IF(COUNTIFS(Registre!$C$11:$C$50,$A31,Registre!$B$11:$B$50,"&gt;="&amp;R$10,Registre!$B$11:$B$50,"&lt;"&amp;EDATE(R$10,1))&gt;0,COUNTIFS(Registre!$C$11:$C$50,$A31,Registre!$B$11:$B$50,"&gt;="&amp;R$10,Registre!$B$11:$B$50,"&lt;"&amp;EDATE(R$10,1)),IF(AND($K31&lt;&gt;"",$K31&gt;=R$10,$K31&lt;EDATE(R$10,1)),"prévu","")))</f>
        <v/>
      </c>
      <c r="S31" s="25" t="str">
        <f aca="false">IF($C31="","",IF(COUNTIFS(Registre!$C$11:$C$50,$A31,Registre!$B$11:$B$50,"&gt;="&amp;S$10,Registre!$B$11:$B$50,"&lt;"&amp;EDATE(S$10,1))&gt;0,COUNTIFS(Registre!$C$11:$C$50,$A31,Registre!$B$11:$B$50,"&gt;="&amp;S$10,Registre!$B$11:$B$50,"&lt;"&amp;EDATE(S$10,1)),IF(AND($K31&lt;&gt;"",$K31&gt;=S$10,$K31&lt;EDATE(S$10,1)),"prévu","")))</f>
        <v/>
      </c>
      <c r="T31" s="25" t="str">
        <f aca="false">IF($C31="","",IF(COUNTIFS(Registre!$C$11:$C$50,$A31,Registre!$B$11:$B$50,"&gt;="&amp;T$10,Registre!$B$11:$B$50,"&lt;"&amp;EDATE(T$10,1))&gt;0,COUNTIFS(Registre!$C$11:$C$50,$A31,Registre!$B$11:$B$50,"&gt;="&amp;T$10,Registre!$B$11:$B$50,"&lt;"&amp;EDATE(T$10,1)),IF(AND($K31&lt;&gt;"",$K31&gt;=T$10,$K31&lt;EDATE(T$10,1)),"prévu","")))</f>
        <v/>
      </c>
      <c r="U31" s="25" t="str">
        <f aca="false">IF($C31="","",IF(COUNTIFS(Registre!$C$11:$C$50,$A31,Registre!$B$11:$B$50,"&gt;="&amp;U$10,Registre!$B$11:$B$50,"&lt;"&amp;EDATE(U$10,1))&gt;0,COUNTIFS(Registre!$C$11:$C$50,$A31,Registre!$B$11:$B$50,"&gt;="&amp;U$10,Registre!$B$11:$B$50,"&lt;"&amp;EDATE(U$10,1)),IF(AND($K31&lt;&gt;"",$K31&gt;=U$10,$K31&lt;EDATE(U$10,1)),"prévu","")))</f>
        <v/>
      </c>
      <c r="V31" s="25" t="str">
        <f aca="false">IF($C31="","",IF(COUNTIFS(Registre!$C$11:$C$50,$A31,Registre!$B$11:$B$50,"&gt;="&amp;V$10,Registre!$B$11:$B$50,"&lt;"&amp;EDATE(V$10,1))&gt;0,COUNTIFS(Registre!$C$11:$C$50,$A31,Registre!$B$11:$B$50,"&gt;="&amp;V$10,Registre!$B$11:$B$50,"&lt;"&amp;EDATE(V$10,1)),IF(AND($K31&lt;&gt;"",$K31&gt;=V$10,$K31&lt;EDATE(V$10,1)),"prévu","")))</f>
        <v/>
      </c>
      <c r="W31" s="25" t="str">
        <f aca="false">IF($C31="","",IF(COUNTIFS(Registre!$C$11:$C$50,$A31,Registre!$B$11:$B$50,"&gt;="&amp;W$10,Registre!$B$11:$B$50,"&lt;"&amp;EDATE(W$10,1))&gt;0,COUNTIFS(Registre!$C$11:$C$50,$A31,Registre!$B$11:$B$50,"&gt;="&amp;W$10,Registre!$B$11:$B$50,"&lt;"&amp;EDATE(W$10,1)),IF(AND($K31&lt;&gt;"",$K31&gt;=W$10,$K31&lt;EDATE(W$10,1)),"prévu","")))</f>
        <v/>
      </c>
      <c r="X31" s="25" t="str">
        <f aca="false">IF($C31="","",IF(COUNTIFS(Registre!$C$11:$C$50,$A31,Registre!$B$11:$B$50,"&gt;="&amp;X$10,Registre!$B$11:$B$50,"&lt;"&amp;EDATE(X$10,1))&gt;0,COUNTIFS(Registre!$C$11:$C$50,$A31,Registre!$B$11:$B$50,"&gt;="&amp;X$10,Registre!$B$11:$B$50,"&lt;"&amp;EDATE(X$10,1)),IF(AND($K31&lt;&gt;"",$K31&gt;=X$10,$K31&lt;EDATE(X$10,1)),"prévu","")))</f>
        <v/>
      </c>
    </row>
    <row r="32" customFormat="false" ht="24" hidden="false" customHeight="true" outlineLevel="0" collapsed="false">
      <c r="A32" s="20" t="n">
        <v>22</v>
      </c>
      <c r="B32" s="21"/>
      <c r="C32" s="21"/>
      <c r="D32" s="21"/>
      <c r="E32" s="21"/>
      <c r="F32" s="21"/>
      <c r="G32" s="22" t="str">
        <f aca="false">IF(F32="","",IFERROR(IF(INDEX(Listes!$D$4:$D$10,MATCH(F32,Listes!$C$4:$C$10,0))="","",INDEX(Listes!$D$4:$D$10,MATCH(F32,Listes!$C$4:$C$10,0))),""))</f>
        <v/>
      </c>
      <c r="H32" s="21"/>
      <c r="I32" s="23"/>
      <c r="J32" s="24" t="str">
        <f aca="false">IF($C32="","",IFERROR(IF(SUMPRODUCT(MAX((Registre!$C$11:$C$50=$A32)*Registre!$B$11:$B$50))=0,"",SUMPRODUCT(MAX((Registre!$C$11:$C$50=$A32)*Registre!$B$11:$B$50))),""))</f>
        <v/>
      </c>
      <c r="K32" s="24" t="str">
        <f aca="false">IF(OR($C32="",G32=""),"",IF(J32&lt;&gt;"",J32+G32,IF(I32&lt;&gt;"",I32,"")))</f>
        <v/>
      </c>
      <c r="L32" s="25" t="str">
        <f aca="false">IF($C32="","",IF($F32="","Fréquence à choisir",IF(G32="","Au fil de l’eau",IF(K32="","Premier passage à planifier",IF(K32&lt;$D$4,"En retard",IF(K32&lt;=$D$4+$D$6,"Passage proche","À jour"))))))</f>
        <v/>
      </c>
      <c r="M32" s="25" t="str">
        <f aca="false">IF($C32="","",IF(COUNTIFS(Registre!$C$11:$C$50,$A32,Registre!$B$11:$B$50,"&gt;="&amp;M$10,Registre!$B$11:$B$50,"&lt;"&amp;EDATE(M$10,1))&gt;0,COUNTIFS(Registre!$C$11:$C$50,$A32,Registre!$B$11:$B$50,"&gt;="&amp;M$10,Registre!$B$11:$B$50,"&lt;"&amp;EDATE(M$10,1)),IF(AND($K32&lt;&gt;"",$K32&gt;=M$10,$K32&lt;EDATE(M$10,1)),"prévu","")))</f>
        <v/>
      </c>
      <c r="N32" s="25" t="str">
        <f aca="false">IF($C32="","",IF(COUNTIFS(Registre!$C$11:$C$50,$A32,Registre!$B$11:$B$50,"&gt;="&amp;N$10,Registre!$B$11:$B$50,"&lt;"&amp;EDATE(N$10,1))&gt;0,COUNTIFS(Registre!$C$11:$C$50,$A32,Registre!$B$11:$B$50,"&gt;="&amp;N$10,Registre!$B$11:$B$50,"&lt;"&amp;EDATE(N$10,1)),IF(AND($K32&lt;&gt;"",$K32&gt;=N$10,$K32&lt;EDATE(N$10,1)),"prévu","")))</f>
        <v/>
      </c>
      <c r="O32" s="25" t="str">
        <f aca="false">IF($C32="","",IF(COUNTIFS(Registre!$C$11:$C$50,$A32,Registre!$B$11:$B$50,"&gt;="&amp;O$10,Registre!$B$11:$B$50,"&lt;"&amp;EDATE(O$10,1))&gt;0,COUNTIFS(Registre!$C$11:$C$50,$A32,Registre!$B$11:$B$50,"&gt;="&amp;O$10,Registre!$B$11:$B$50,"&lt;"&amp;EDATE(O$10,1)),IF(AND($K32&lt;&gt;"",$K32&gt;=O$10,$K32&lt;EDATE(O$10,1)),"prévu","")))</f>
        <v/>
      </c>
      <c r="P32" s="25" t="str">
        <f aca="false">IF($C32="","",IF(COUNTIFS(Registre!$C$11:$C$50,$A32,Registre!$B$11:$B$50,"&gt;="&amp;P$10,Registre!$B$11:$B$50,"&lt;"&amp;EDATE(P$10,1))&gt;0,COUNTIFS(Registre!$C$11:$C$50,$A32,Registre!$B$11:$B$50,"&gt;="&amp;P$10,Registre!$B$11:$B$50,"&lt;"&amp;EDATE(P$10,1)),IF(AND($K32&lt;&gt;"",$K32&gt;=P$10,$K32&lt;EDATE(P$10,1)),"prévu","")))</f>
        <v/>
      </c>
      <c r="Q32" s="25" t="str">
        <f aca="false">IF($C32="","",IF(COUNTIFS(Registre!$C$11:$C$50,$A32,Registre!$B$11:$B$50,"&gt;="&amp;Q$10,Registre!$B$11:$B$50,"&lt;"&amp;EDATE(Q$10,1))&gt;0,COUNTIFS(Registre!$C$11:$C$50,$A32,Registre!$B$11:$B$50,"&gt;="&amp;Q$10,Registre!$B$11:$B$50,"&lt;"&amp;EDATE(Q$10,1)),IF(AND($K32&lt;&gt;"",$K32&gt;=Q$10,$K32&lt;EDATE(Q$10,1)),"prévu","")))</f>
        <v/>
      </c>
      <c r="R32" s="25" t="str">
        <f aca="false">IF($C32="","",IF(COUNTIFS(Registre!$C$11:$C$50,$A32,Registre!$B$11:$B$50,"&gt;="&amp;R$10,Registre!$B$11:$B$50,"&lt;"&amp;EDATE(R$10,1))&gt;0,COUNTIFS(Registre!$C$11:$C$50,$A32,Registre!$B$11:$B$50,"&gt;="&amp;R$10,Registre!$B$11:$B$50,"&lt;"&amp;EDATE(R$10,1)),IF(AND($K32&lt;&gt;"",$K32&gt;=R$10,$K32&lt;EDATE(R$10,1)),"prévu","")))</f>
        <v/>
      </c>
      <c r="S32" s="25" t="str">
        <f aca="false">IF($C32="","",IF(COUNTIFS(Registre!$C$11:$C$50,$A32,Registre!$B$11:$B$50,"&gt;="&amp;S$10,Registre!$B$11:$B$50,"&lt;"&amp;EDATE(S$10,1))&gt;0,COUNTIFS(Registre!$C$11:$C$50,$A32,Registre!$B$11:$B$50,"&gt;="&amp;S$10,Registre!$B$11:$B$50,"&lt;"&amp;EDATE(S$10,1)),IF(AND($K32&lt;&gt;"",$K32&gt;=S$10,$K32&lt;EDATE(S$10,1)),"prévu","")))</f>
        <v/>
      </c>
      <c r="T32" s="25" t="str">
        <f aca="false">IF($C32="","",IF(COUNTIFS(Registre!$C$11:$C$50,$A32,Registre!$B$11:$B$50,"&gt;="&amp;T$10,Registre!$B$11:$B$50,"&lt;"&amp;EDATE(T$10,1))&gt;0,COUNTIFS(Registre!$C$11:$C$50,$A32,Registre!$B$11:$B$50,"&gt;="&amp;T$10,Registre!$B$11:$B$50,"&lt;"&amp;EDATE(T$10,1)),IF(AND($K32&lt;&gt;"",$K32&gt;=T$10,$K32&lt;EDATE(T$10,1)),"prévu","")))</f>
        <v/>
      </c>
      <c r="U32" s="25" t="str">
        <f aca="false">IF($C32="","",IF(COUNTIFS(Registre!$C$11:$C$50,$A32,Registre!$B$11:$B$50,"&gt;="&amp;U$10,Registre!$B$11:$B$50,"&lt;"&amp;EDATE(U$10,1))&gt;0,COUNTIFS(Registre!$C$11:$C$50,$A32,Registre!$B$11:$B$50,"&gt;="&amp;U$10,Registre!$B$11:$B$50,"&lt;"&amp;EDATE(U$10,1)),IF(AND($K32&lt;&gt;"",$K32&gt;=U$10,$K32&lt;EDATE(U$10,1)),"prévu","")))</f>
        <v/>
      </c>
      <c r="V32" s="25" t="str">
        <f aca="false">IF($C32="","",IF(COUNTIFS(Registre!$C$11:$C$50,$A32,Registre!$B$11:$B$50,"&gt;="&amp;V$10,Registre!$B$11:$B$50,"&lt;"&amp;EDATE(V$10,1))&gt;0,COUNTIFS(Registre!$C$11:$C$50,$A32,Registre!$B$11:$B$50,"&gt;="&amp;V$10,Registre!$B$11:$B$50,"&lt;"&amp;EDATE(V$10,1)),IF(AND($K32&lt;&gt;"",$K32&gt;=V$10,$K32&lt;EDATE(V$10,1)),"prévu","")))</f>
        <v/>
      </c>
      <c r="W32" s="25" t="str">
        <f aca="false">IF($C32="","",IF(COUNTIFS(Registre!$C$11:$C$50,$A32,Registre!$B$11:$B$50,"&gt;="&amp;W$10,Registre!$B$11:$B$50,"&lt;"&amp;EDATE(W$10,1))&gt;0,COUNTIFS(Registre!$C$11:$C$50,$A32,Registre!$B$11:$B$50,"&gt;="&amp;W$10,Registre!$B$11:$B$50,"&lt;"&amp;EDATE(W$10,1)),IF(AND($K32&lt;&gt;"",$K32&gt;=W$10,$K32&lt;EDATE(W$10,1)),"prévu","")))</f>
        <v/>
      </c>
      <c r="X32" s="25" t="str">
        <f aca="false">IF($C32="","",IF(COUNTIFS(Registre!$C$11:$C$50,$A32,Registre!$B$11:$B$50,"&gt;="&amp;X$10,Registre!$B$11:$B$50,"&lt;"&amp;EDATE(X$10,1))&gt;0,COUNTIFS(Registre!$C$11:$C$50,$A32,Registre!$B$11:$B$50,"&gt;="&amp;X$10,Registre!$B$11:$B$50,"&lt;"&amp;EDATE(X$10,1)),IF(AND($K32&lt;&gt;"",$K32&gt;=X$10,$K32&lt;EDATE(X$10,1)),"prévu","")))</f>
        <v/>
      </c>
    </row>
    <row r="33" customFormat="false" ht="24" hidden="false" customHeight="true" outlineLevel="0" collapsed="false">
      <c r="A33" s="20" t="n">
        <v>23</v>
      </c>
      <c r="B33" s="21"/>
      <c r="C33" s="21"/>
      <c r="D33" s="21"/>
      <c r="E33" s="21"/>
      <c r="F33" s="21"/>
      <c r="G33" s="22" t="str">
        <f aca="false">IF(F33="","",IFERROR(IF(INDEX(Listes!$D$4:$D$10,MATCH(F33,Listes!$C$4:$C$10,0))="","",INDEX(Listes!$D$4:$D$10,MATCH(F33,Listes!$C$4:$C$10,0))),""))</f>
        <v/>
      </c>
      <c r="H33" s="21"/>
      <c r="I33" s="23"/>
      <c r="J33" s="24" t="str">
        <f aca="false">IF($C33="","",IFERROR(IF(SUMPRODUCT(MAX((Registre!$C$11:$C$50=$A33)*Registre!$B$11:$B$50))=0,"",SUMPRODUCT(MAX((Registre!$C$11:$C$50=$A33)*Registre!$B$11:$B$50))),""))</f>
        <v/>
      </c>
      <c r="K33" s="24" t="str">
        <f aca="false">IF(OR($C33="",G33=""),"",IF(J33&lt;&gt;"",J33+G33,IF(I33&lt;&gt;"",I33,"")))</f>
        <v/>
      </c>
      <c r="L33" s="25" t="str">
        <f aca="false">IF($C33="","",IF($F33="","Fréquence à choisir",IF(G33="","Au fil de l’eau",IF(K33="","Premier passage à planifier",IF(K33&lt;$D$4,"En retard",IF(K33&lt;=$D$4+$D$6,"Passage proche","À jour"))))))</f>
        <v/>
      </c>
      <c r="M33" s="25" t="str">
        <f aca="false">IF($C33="","",IF(COUNTIFS(Registre!$C$11:$C$50,$A33,Registre!$B$11:$B$50,"&gt;="&amp;M$10,Registre!$B$11:$B$50,"&lt;"&amp;EDATE(M$10,1))&gt;0,COUNTIFS(Registre!$C$11:$C$50,$A33,Registre!$B$11:$B$50,"&gt;="&amp;M$10,Registre!$B$11:$B$50,"&lt;"&amp;EDATE(M$10,1)),IF(AND($K33&lt;&gt;"",$K33&gt;=M$10,$K33&lt;EDATE(M$10,1)),"prévu","")))</f>
        <v/>
      </c>
      <c r="N33" s="25" t="str">
        <f aca="false">IF($C33="","",IF(COUNTIFS(Registre!$C$11:$C$50,$A33,Registre!$B$11:$B$50,"&gt;="&amp;N$10,Registre!$B$11:$B$50,"&lt;"&amp;EDATE(N$10,1))&gt;0,COUNTIFS(Registre!$C$11:$C$50,$A33,Registre!$B$11:$B$50,"&gt;="&amp;N$10,Registre!$B$11:$B$50,"&lt;"&amp;EDATE(N$10,1)),IF(AND($K33&lt;&gt;"",$K33&gt;=N$10,$K33&lt;EDATE(N$10,1)),"prévu","")))</f>
        <v/>
      </c>
      <c r="O33" s="25" t="str">
        <f aca="false">IF($C33="","",IF(COUNTIFS(Registre!$C$11:$C$50,$A33,Registre!$B$11:$B$50,"&gt;="&amp;O$10,Registre!$B$11:$B$50,"&lt;"&amp;EDATE(O$10,1))&gt;0,COUNTIFS(Registre!$C$11:$C$50,$A33,Registre!$B$11:$B$50,"&gt;="&amp;O$10,Registre!$B$11:$B$50,"&lt;"&amp;EDATE(O$10,1)),IF(AND($K33&lt;&gt;"",$K33&gt;=O$10,$K33&lt;EDATE(O$10,1)),"prévu","")))</f>
        <v/>
      </c>
      <c r="P33" s="25" t="str">
        <f aca="false">IF($C33="","",IF(COUNTIFS(Registre!$C$11:$C$50,$A33,Registre!$B$11:$B$50,"&gt;="&amp;P$10,Registre!$B$11:$B$50,"&lt;"&amp;EDATE(P$10,1))&gt;0,COUNTIFS(Registre!$C$11:$C$50,$A33,Registre!$B$11:$B$50,"&gt;="&amp;P$10,Registre!$B$11:$B$50,"&lt;"&amp;EDATE(P$10,1)),IF(AND($K33&lt;&gt;"",$K33&gt;=P$10,$K33&lt;EDATE(P$10,1)),"prévu","")))</f>
        <v/>
      </c>
      <c r="Q33" s="25" t="str">
        <f aca="false">IF($C33="","",IF(COUNTIFS(Registre!$C$11:$C$50,$A33,Registre!$B$11:$B$50,"&gt;="&amp;Q$10,Registre!$B$11:$B$50,"&lt;"&amp;EDATE(Q$10,1))&gt;0,COUNTIFS(Registre!$C$11:$C$50,$A33,Registre!$B$11:$B$50,"&gt;="&amp;Q$10,Registre!$B$11:$B$50,"&lt;"&amp;EDATE(Q$10,1)),IF(AND($K33&lt;&gt;"",$K33&gt;=Q$10,$K33&lt;EDATE(Q$10,1)),"prévu","")))</f>
        <v/>
      </c>
      <c r="R33" s="25" t="str">
        <f aca="false">IF($C33="","",IF(COUNTIFS(Registre!$C$11:$C$50,$A33,Registre!$B$11:$B$50,"&gt;="&amp;R$10,Registre!$B$11:$B$50,"&lt;"&amp;EDATE(R$10,1))&gt;0,COUNTIFS(Registre!$C$11:$C$50,$A33,Registre!$B$11:$B$50,"&gt;="&amp;R$10,Registre!$B$11:$B$50,"&lt;"&amp;EDATE(R$10,1)),IF(AND($K33&lt;&gt;"",$K33&gt;=R$10,$K33&lt;EDATE(R$10,1)),"prévu","")))</f>
        <v/>
      </c>
      <c r="S33" s="25" t="str">
        <f aca="false">IF($C33="","",IF(COUNTIFS(Registre!$C$11:$C$50,$A33,Registre!$B$11:$B$50,"&gt;="&amp;S$10,Registre!$B$11:$B$50,"&lt;"&amp;EDATE(S$10,1))&gt;0,COUNTIFS(Registre!$C$11:$C$50,$A33,Registre!$B$11:$B$50,"&gt;="&amp;S$10,Registre!$B$11:$B$50,"&lt;"&amp;EDATE(S$10,1)),IF(AND($K33&lt;&gt;"",$K33&gt;=S$10,$K33&lt;EDATE(S$10,1)),"prévu","")))</f>
        <v/>
      </c>
      <c r="T33" s="25" t="str">
        <f aca="false">IF($C33="","",IF(COUNTIFS(Registre!$C$11:$C$50,$A33,Registre!$B$11:$B$50,"&gt;="&amp;T$10,Registre!$B$11:$B$50,"&lt;"&amp;EDATE(T$10,1))&gt;0,COUNTIFS(Registre!$C$11:$C$50,$A33,Registre!$B$11:$B$50,"&gt;="&amp;T$10,Registre!$B$11:$B$50,"&lt;"&amp;EDATE(T$10,1)),IF(AND($K33&lt;&gt;"",$K33&gt;=T$10,$K33&lt;EDATE(T$10,1)),"prévu","")))</f>
        <v/>
      </c>
      <c r="U33" s="25" t="str">
        <f aca="false">IF($C33="","",IF(COUNTIFS(Registre!$C$11:$C$50,$A33,Registre!$B$11:$B$50,"&gt;="&amp;U$10,Registre!$B$11:$B$50,"&lt;"&amp;EDATE(U$10,1))&gt;0,COUNTIFS(Registre!$C$11:$C$50,$A33,Registre!$B$11:$B$50,"&gt;="&amp;U$10,Registre!$B$11:$B$50,"&lt;"&amp;EDATE(U$10,1)),IF(AND($K33&lt;&gt;"",$K33&gt;=U$10,$K33&lt;EDATE(U$10,1)),"prévu","")))</f>
        <v/>
      </c>
      <c r="V33" s="25" t="str">
        <f aca="false">IF($C33="","",IF(COUNTIFS(Registre!$C$11:$C$50,$A33,Registre!$B$11:$B$50,"&gt;="&amp;V$10,Registre!$B$11:$B$50,"&lt;"&amp;EDATE(V$10,1))&gt;0,COUNTIFS(Registre!$C$11:$C$50,$A33,Registre!$B$11:$B$50,"&gt;="&amp;V$10,Registre!$B$11:$B$50,"&lt;"&amp;EDATE(V$10,1)),IF(AND($K33&lt;&gt;"",$K33&gt;=V$10,$K33&lt;EDATE(V$10,1)),"prévu","")))</f>
        <v/>
      </c>
      <c r="W33" s="25" t="str">
        <f aca="false">IF($C33="","",IF(COUNTIFS(Registre!$C$11:$C$50,$A33,Registre!$B$11:$B$50,"&gt;="&amp;W$10,Registre!$B$11:$B$50,"&lt;"&amp;EDATE(W$10,1))&gt;0,COUNTIFS(Registre!$C$11:$C$50,$A33,Registre!$B$11:$B$50,"&gt;="&amp;W$10,Registre!$B$11:$B$50,"&lt;"&amp;EDATE(W$10,1)),IF(AND($K33&lt;&gt;"",$K33&gt;=W$10,$K33&lt;EDATE(W$10,1)),"prévu","")))</f>
        <v/>
      </c>
      <c r="X33" s="25" t="str">
        <f aca="false">IF($C33="","",IF(COUNTIFS(Registre!$C$11:$C$50,$A33,Registre!$B$11:$B$50,"&gt;="&amp;X$10,Registre!$B$11:$B$50,"&lt;"&amp;EDATE(X$10,1))&gt;0,COUNTIFS(Registre!$C$11:$C$50,$A33,Registre!$B$11:$B$50,"&gt;="&amp;X$10,Registre!$B$11:$B$50,"&lt;"&amp;EDATE(X$10,1)),IF(AND($K33&lt;&gt;"",$K33&gt;=X$10,$K33&lt;EDATE(X$10,1)),"prévu","")))</f>
        <v/>
      </c>
    </row>
    <row r="34" customFormat="false" ht="24" hidden="false" customHeight="true" outlineLevel="0" collapsed="false">
      <c r="A34" s="20" t="n">
        <v>24</v>
      </c>
      <c r="B34" s="21"/>
      <c r="C34" s="21"/>
      <c r="D34" s="21"/>
      <c r="E34" s="21"/>
      <c r="F34" s="21"/>
      <c r="G34" s="22" t="str">
        <f aca="false">IF(F34="","",IFERROR(IF(INDEX(Listes!$D$4:$D$10,MATCH(F34,Listes!$C$4:$C$10,0))="","",INDEX(Listes!$D$4:$D$10,MATCH(F34,Listes!$C$4:$C$10,0))),""))</f>
        <v/>
      </c>
      <c r="H34" s="21"/>
      <c r="I34" s="23"/>
      <c r="J34" s="24" t="str">
        <f aca="false">IF($C34="","",IFERROR(IF(SUMPRODUCT(MAX((Registre!$C$11:$C$50=$A34)*Registre!$B$11:$B$50))=0,"",SUMPRODUCT(MAX((Registre!$C$11:$C$50=$A34)*Registre!$B$11:$B$50))),""))</f>
        <v/>
      </c>
      <c r="K34" s="24" t="str">
        <f aca="false">IF(OR($C34="",G34=""),"",IF(J34&lt;&gt;"",J34+G34,IF(I34&lt;&gt;"",I34,"")))</f>
        <v/>
      </c>
      <c r="L34" s="25" t="str">
        <f aca="false">IF($C34="","",IF($F34="","Fréquence à choisir",IF(G34="","Au fil de l’eau",IF(K34="","Premier passage à planifier",IF(K34&lt;$D$4,"En retard",IF(K34&lt;=$D$4+$D$6,"Passage proche","À jour"))))))</f>
        <v/>
      </c>
      <c r="M34" s="25" t="str">
        <f aca="false">IF($C34="","",IF(COUNTIFS(Registre!$C$11:$C$50,$A34,Registre!$B$11:$B$50,"&gt;="&amp;M$10,Registre!$B$11:$B$50,"&lt;"&amp;EDATE(M$10,1))&gt;0,COUNTIFS(Registre!$C$11:$C$50,$A34,Registre!$B$11:$B$50,"&gt;="&amp;M$10,Registre!$B$11:$B$50,"&lt;"&amp;EDATE(M$10,1)),IF(AND($K34&lt;&gt;"",$K34&gt;=M$10,$K34&lt;EDATE(M$10,1)),"prévu","")))</f>
        <v/>
      </c>
      <c r="N34" s="25" t="str">
        <f aca="false">IF($C34="","",IF(COUNTIFS(Registre!$C$11:$C$50,$A34,Registre!$B$11:$B$50,"&gt;="&amp;N$10,Registre!$B$11:$B$50,"&lt;"&amp;EDATE(N$10,1))&gt;0,COUNTIFS(Registre!$C$11:$C$50,$A34,Registre!$B$11:$B$50,"&gt;="&amp;N$10,Registre!$B$11:$B$50,"&lt;"&amp;EDATE(N$10,1)),IF(AND($K34&lt;&gt;"",$K34&gt;=N$10,$K34&lt;EDATE(N$10,1)),"prévu","")))</f>
        <v/>
      </c>
      <c r="O34" s="25" t="str">
        <f aca="false">IF($C34="","",IF(COUNTIFS(Registre!$C$11:$C$50,$A34,Registre!$B$11:$B$50,"&gt;="&amp;O$10,Registre!$B$11:$B$50,"&lt;"&amp;EDATE(O$10,1))&gt;0,COUNTIFS(Registre!$C$11:$C$50,$A34,Registre!$B$11:$B$50,"&gt;="&amp;O$10,Registre!$B$11:$B$50,"&lt;"&amp;EDATE(O$10,1)),IF(AND($K34&lt;&gt;"",$K34&gt;=O$10,$K34&lt;EDATE(O$10,1)),"prévu","")))</f>
        <v/>
      </c>
      <c r="P34" s="25" t="str">
        <f aca="false">IF($C34="","",IF(COUNTIFS(Registre!$C$11:$C$50,$A34,Registre!$B$11:$B$50,"&gt;="&amp;P$10,Registre!$B$11:$B$50,"&lt;"&amp;EDATE(P$10,1))&gt;0,COUNTIFS(Registre!$C$11:$C$50,$A34,Registre!$B$11:$B$50,"&gt;="&amp;P$10,Registre!$B$11:$B$50,"&lt;"&amp;EDATE(P$10,1)),IF(AND($K34&lt;&gt;"",$K34&gt;=P$10,$K34&lt;EDATE(P$10,1)),"prévu","")))</f>
        <v/>
      </c>
      <c r="Q34" s="25" t="str">
        <f aca="false">IF($C34="","",IF(COUNTIFS(Registre!$C$11:$C$50,$A34,Registre!$B$11:$B$50,"&gt;="&amp;Q$10,Registre!$B$11:$B$50,"&lt;"&amp;EDATE(Q$10,1))&gt;0,COUNTIFS(Registre!$C$11:$C$50,$A34,Registre!$B$11:$B$50,"&gt;="&amp;Q$10,Registre!$B$11:$B$50,"&lt;"&amp;EDATE(Q$10,1)),IF(AND($K34&lt;&gt;"",$K34&gt;=Q$10,$K34&lt;EDATE(Q$10,1)),"prévu","")))</f>
        <v/>
      </c>
      <c r="R34" s="25" t="str">
        <f aca="false">IF($C34="","",IF(COUNTIFS(Registre!$C$11:$C$50,$A34,Registre!$B$11:$B$50,"&gt;="&amp;R$10,Registre!$B$11:$B$50,"&lt;"&amp;EDATE(R$10,1))&gt;0,COUNTIFS(Registre!$C$11:$C$50,$A34,Registre!$B$11:$B$50,"&gt;="&amp;R$10,Registre!$B$11:$B$50,"&lt;"&amp;EDATE(R$10,1)),IF(AND($K34&lt;&gt;"",$K34&gt;=R$10,$K34&lt;EDATE(R$10,1)),"prévu","")))</f>
        <v/>
      </c>
      <c r="S34" s="25" t="str">
        <f aca="false">IF($C34="","",IF(COUNTIFS(Registre!$C$11:$C$50,$A34,Registre!$B$11:$B$50,"&gt;="&amp;S$10,Registre!$B$11:$B$50,"&lt;"&amp;EDATE(S$10,1))&gt;0,COUNTIFS(Registre!$C$11:$C$50,$A34,Registre!$B$11:$B$50,"&gt;="&amp;S$10,Registre!$B$11:$B$50,"&lt;"&amp;EDATE(S$10,1)),IF(AND($K34&lt;&gt;"",$K34&gt;=S$10,$K34&lt;EDATE(S$10,1)),"prévu","")))</f>
        <v/>
      </c>
      <c r="T34" s="25" t="str">
        <f aca="false">IF($C34="","",IF(COUNTIFS(Registre!$C$11:$C$50,$A34,Registre!$B$11:$B$50,"&gt;="&amp;T$10,Registre!$B$11:$B$50,"&lt;"&amp;EDATE(T$10,1))&gt;0,COUNTIFS(Registre!$C$11:$C$50,$A34,Registre!$B$11:$B$50,"&gt;="&amp;T$10,Registre!$B$11:$B$50,"&lt;"&amp;EDATE(T$10,1)),IF(AND($K34&lt;&gt;"",$K34&gt;=T$10,$K34&lt;EDATE(T$10,1)),"prévu","")))</f>
        <v/>
      </c>
      <c r="U34" s="25" t="str">
        <f aca="false">IF($C34="","",IF(COUNTIFS(Registre!$C$11:$C$50,$A34,Registre!$B$11:$B$50,"&gt;="&amp;U$10,Registre!$B$11:$B$50,"&lt;"&amp;EDATE(U$10,1))&gt;0,COUNTIFS(Registre!$C$11:$C$50,$A34,Registre!$B$11:$B$50,"&gt;="&amp;U$10,Registre!$B$11:$B$50,"&lt;"&amp;EDATE(U$10,1)),IF(AND($K34&lt;&gt;"",$K34&gt;=U$10,$K34&lt;EDATE(U$10,1)),"prévu","")))</f>
        <v/>
      </c>
      <c r="V34" s="25" t="str">
        <f aca="false">IF($C34="","",IF(COUNTIFS(Registre!$C$11:$C$50,$A34,Registre!$B$11:$B$50,"&gt;="&amp;V$10,Registre!$B$11:$B$50,"&lt;"&amp;EDATE(V$10,1))&gt;0,COUNTIFS(Registre!$C$11:$C$50,$A34,Registre!$B$11:$B$50,"&gt;="&amp;V$10,Registre!$B$11:$B$50,"&lt;"&amp;EDATE(V$10,1)),IF(AND($K34&lt;&gt;"",$K34&gt;=V$10,$K34&lt;EDATE(V$10,1)),"prévu","")))</f>
        <v/>
      </c>
      <c r="W34" s="25" t="str">
        <f aca="false">IF($C34="","",IF(COUNTIFS(Registre!$C$11:$C$50,$A34,Registre!$B$11:$B$50,"&gt;="&amp;W$10,Registre!$B$11:$B$50,"&lt;"&amp;EDATE(W$10,1))&gt;0,COUNTIFS(Registre!$C$11:$C$50,$A34,Registre!$B$11:$B$50,"&gt;="&amp;W$10,Registre!$B$11:$B$50,"&lt;"&amp;EDATE(W$10,1)),IF(AND($K34&lt;&gt;"",$K34&gt;=W$10,$K34&lt;EDATE(W$10,1)),"prévu","")))</f>
        <v/>
      </c>
      <c r="X34" s="25" t="str">
        <f aca="false">IF($C34="","",IF(COUNTIFS(Registre!$C$11:$C$50,$A34,Registre!$B$11:$B$50,"&gt;="&amp;X$10,Registre!$B$11:$B$50,"&lt;"&amp;EDATE(X$10,1))&gt;0,COUNTIFS(Registre!$C$11:$C$50,$A34,Registre!$B$11:$B$50,"&gt;="&amp;X$10,Registre!$B$11:$B$50,"&lt;"&amp;EDATE(X$10,1)),IF(AND($K34&lt;&gt;"",$K34&gt;=X$10,$K34&lt;EDATE(X$10,1)),"prévu","")))</f>
        <v/>
      </c>
    </row>
    <row r="35" customFormat="false" ht="24" hidden="false" customHeight="true" outlineLevel="0" collapsed="false">
      <c r="A35" s="20" t="n">
        <v>25</v>
      </c>
      <c r="B35" s="21"/>
      <c r="C35" s="21"/>
      <c r="D35" s="21"/>
      <c r="E35" s="21"/>
      <c r="F35" s="21"/>
      <c r="G35" s="22" t="str">
        <f aca="false">IF(F35="","",IFERROR(IF(INDEX(Listes!$D$4:$D$10,MATCH(F35,Listes!$C$4:$C$10,0))="","",INDEX(Listes!$D$4:$D$10,MATCH(F35,Listes!$C$4:$C$10,0))),""))</f>
        <v/>
      </c>
      <c r="H35" s="21"/>
      <c r="I35" s="23"/>
      <c r="J35" s="24" t="str">
        <f aca="false">IF($C35="","",IFERROR(IF(SUMPRODUCT(MAX((Registre!$C$11:$C$50=$A35)*Registre!$B$11:$B$50))=0,"",SUMPRODUCT(MAX((Registre!$C$11:$C$50=$A35)*Registre!$B$11:$B$50))),""))</f>
        <v/>
      </c>
      <c r="K35" s="24" t="str">
        <f aca="false">IF(OR($C35="",G35=""),"",IF(J35&lt;&gt;"",J35+G35,IF(I35&lt;&gt;"",I35,"")))</f>
        <v/>
      </c>
      <c r="L35" s="25" t="str">
        <f aca="false">IF($C35="","",IF($F35="","Fréquence à choisir",IF(G35="","Au fil de l’eau",IF(K35="","Premier passage à planifier",IF(K35&lt;$D$4,"En retard",IF(K35&lt;=$D$4+$D$6,"Passage proche","À jour"))))))</f>
        <v/>
      </c>
      <c r="M35" s="25" t="str">
        <f aca="false">IF($C35="","",IF(COUNTIFS(Registre!$C$11:$C$50,$A35,Registre!$B$11:$B$50,"&gt;="&amp;M$10,Registre!$B$11:$B$50,"&lt;"&amp;EDATE(M$10,1))&gt;0,COUNTIFS(Registre!$C$11:$C$50,$A35,Registre!$B$11:$B$50,"&gt;="&amp;M$10,Registre!$B$11:$B$50,"&lt;"&amp;EDATE(M$10,1)),IF(AND($K35&lt;&gt;"",$K35&gt;=M$10,$K35&lt;EDATE(M$10,1)),"prévu","")))</f>
        <v/>
      </c>
      <c r="N35" s="25" t="str">
        <f aca="false">IF($C35="","",IF(COUNTIFS(Registre!$C$11:$C$50,$A35,Registre!$B$11:$B$50,"&gt;="&amp;N$10,Registre!$B$11:$B$50,"&lt;"&amp;EDATE(N$10,1))&gt;0,COUNTIFS(Registre!$C$11:$C$50,$A35,Registre!$B$11:$B$50,"&gt;="&amp;N$10,Registre!$B$11:$B$50,"&lt;"&amp;EDATE(N$10,1)),IF(AND($K35&lt;&gt;"",$K35&gt;=N$10,$K35&lt;EDATE(N$10,1)),"prévu","")))</f>
        <v/>
      </c>
      <c r="O35" s="25" t="str">
        <f aca="false">IF($C35="","",IF(COUNTIFS(Registre!$C$11:$C$50,$A35,Registre!$B$11:$B$50,"&gt;="&amp;O$10,Registre!$B$11:$B$50,"&lt;"&amp;EDATE(O$10,1))&gt;0,COUNTIFS(Registre!$C$11:$C$50,$A35,Registre!$B$11:$B$50,"&gt;="&amp;O$10,Registre!$B$11:$B$50,"&lt;"&amp;EDATE(O$10,1)),IF(AND($K35&lt;&gt;"",$K35&gt;=O$10,$K35&lt;EDATE(O$10,1)),"prévu","")))</f>
        <v/>
      </c>
      <c r="P35" s="25" t="str">
        <f aca="false">IF($C35="","",IF(COUNTIFS(Registre!$C$11:$C$50,$A35,Registre!$B$11:$B$50,"&gt;="&amp;P$10,Registre!$B$11:$B$50,"&lt;"&amp;EDATE(P$10,1))&gt;0,COUNTIFS(Registre!$C$11:$C$50,$A35,Registre!$B$11:$B$50,"&gt;="&amp;P$10,Registre!$B$11:$B$50,"&lt;"&amp;EDATE(P$10,1)),IF(AND($K35&lt;&gt;"",$K35&gt;=P$10,$K35&lt;EDATE(P$10,1)),"prévu","")))</f>
        <v/>
      </c>
      <c r="Q35" s="25" t="str">
        <f aca="false">IF($C35="","",IF(COUNTIFS(Registre!$C$11:$C$50,$A35,Registre!$B$11:$B$50,"&gt;="&amp;Q$10,Registre!$B$11:$B$50,"&lt;"&amp;EDATE(Q$10,1))&gt;0,COUNTIFS(Registre!$C$11:$C$50,$A35,Registre!$B$11:$B$50,"&gt;="&amp;Q$10,Registre!$B$11:$B$50,"&lt;"&amp;EDATE(Q$10,1)),IF(AND($K35&lt;&gt;"",$K35&gt;=Q$10,$K35&lt;EDATE(Q$10,1)),"prévu","")))</f>
        <v/>
      </c>
      <c r="R35" s="25" t="str">
        <f aca="false">IF($C35="","",IF(COUNTIFS(Registre!$C$11:$C$50,$A35,Registre!$B$11:$B$50,"&gt;="&amp;R$10,Registre!$B$11:$B$50,"&lt;"&amp;EDATE(R$10,1))&gt;0,COUNTIFS(Registre!$C$11:$C$50,$A35,Registre!$B$11:$B$50,"&gt;="&amp;R$10,Registre!$B$11:$B$50,"&lt;"&amp;EDATE(R$10,1)),IF(AND($K35&lt;&gt;"",$K35&gt;=R$10,$K35&lt;EDATE(R$10,1)),"prévu","")))</f>
        <v/>
      </c>
      <c r="S35" s="25" t="str">
        <f aca="false">IF($C35="","",IF(COUNTIFS(Registre!$C$11:$C$50,$A35,Registre!$B$11:$B$50,"&gt;="&amp;S$10,Registre!$B$11:$B$50,"&lt;"&amp;EDATE(S$10,1))&gt;0,COUNTIFS(Registre!$C$11:$C$50,$A35,Registre!$B$11:$B$50,"&gt;="&amp;S$10,Registre!$B$11:$B$50,"&lt;"&amp;EDATE(S$10,1)),IF(AND($K35&lt;&gt;"",$K35&gt;=S$10,$K35&lt;EDATE(S$10,1)),"prévu","")))</f>
        <v/>
      </c>
      <c r="T35" s="25" t="str">
        <f aca="false">IF($C35="","",IF(COUNTIFS(Registre!$C$11:$C$50,$A35,Registre!$B$11:$B$50,"&gt;="&amp;T$10,Registre!$B$11:$B$50,"&lt;"&amp;EDATE(T$10,1))&gt;0,COUNTIFS(Registre!$C$11:$C$50,$A35,Registre!$B$11:$B$50,"&gt;="&amp;T$10,Registre!$B$11:$B$50,"&lt;"&amp;EDATE(T$10,1)),IF(AND($K35&lt;&gt;"",$K35&gt;=T$10,$K35&lt;EDATE(T$10,1)),"prévu","")))</f>
        <v/>
      </c>
      <c r="U35" s="25" t="str">
        <f aca="false">IF($C35="","",IF(COUNTIFS(Registre!$C$11:$C$50,$A35,Registre!$B$11:$B$50,"&gt;="&amp;U$10,Registre!$B$11:$B$50,"&lt;"&amp;EDATE(U$10,1))&gt;0,COUNTIFS(Registre!$C$11:$C$50,$A35,Registre!$B$11:$B$50,"&gt;="&amp;U$10,Registre!$B$11:$B$50,"&lt;"&amp;EDATE(U$10,1)),IF(AND($K35&lt;&gt;"",$K35&gt;=U$10,$K35&lt;EDATE(U$10,1)),"prévu","")))</f>
        <v/>
      </c>
      <c r="V35" s="25" t="str">
        <f aca="false">IF($C35="","",IF(COUNTIFS(Registre!$C$11:$C$50,$A35,Registre!$B$11:$B$50,"&gt;="&amp;V$10,Registre!$B$11:$B$50,"&lt;"&amp;EDATE(V$10,1))&gt;0,COUNTIFS(Registre!$C$11:$C$50,$A35,Registre!$B$11:$B$50,"&gt;="&amp;V$10,Registre!$B$11:$B$50,"&lt;"&amp;EDATE(V$10,1)),IF(AND($K35&lt;&gt;"",$K35&gt;=V$10,$K35&lt;EDATE(V$10,1)),"prévu","")))</f>
        <v/>
      </c>
      <c r="W35" s="25" t="str">
        <f aca="false">IF($C35="","",IF(COUNTIFS(Registre!$C$11:$C$50,$A35,Registre!$B$11:$B$50,"&gt;="&amp;W$10,Registre!$B$11:$B$50,"&lt;"&amp;EDATE(W$10,1))&gt;0,COUNTIFS(Registre!$C$11:$C$50,$A35,Registre!$B$11:$B$50,"&gt;="&amp;W$10,Registre!$B$11:$B$50,"&lt;"&amp;EDATE(W$10,1)),IF(AND($K35&lt;&gt;"",$K35&gt;=W$10,$K35&lt;EDATE(W$10,1)),"prévu","")))</f>
        <v/>
      </c>
      <c r="X35" s="25" t="str">
        <f aca="false">IF($C35="","",IF(COUNTIFS(Registre!$C$11:$C$50,$A35,Registre!$B$11:$B$50,"&gt;="&amp;X$10,Registre!$B$11:$B$50,"&lt;"&amp;EDATE(X$10,1))&gt;0,COUNTIFS(Registre!$C$11:$C$50,$A35,Registre!$B$11:$B$50,"&gt;="&amp;X$10,Registre!$B$11:$B$50,"&lt;"&amp;EDATE(X$10,1)),IF(AND($K35&lt;&gt;"",$K35&gt;=X$10,$K35&lt;EDATE(X$10,1)),"prévu","")))</f>
        <v/>
      </c>
    </row>
  </sheetData>
  <mergeCells count="8">
    <mergeCell ref="A4:C4"/>
    <mergeCell ref="H4:L8"/>
    <mergeCell ref="A5:C5"/>
    <mergeCell ref="A6:C6"/>
    <mergeCell ref="A9:E9"/>
    <mergeCell ref="F9:I9"/>
    <mergeCell ref="J9:L9"/>
    <mergeCell ref="M9:X9"/>
  </mergeCells>
  <conditionalFormatting sqref="L11:L35">
    <cfRule type="expression" priority="2" aboveAverage="0" equalAverage="0" bottom="0" percent="0" rank="0" text="" dxfId="0">
      <formula>$L11="En retard"</formula>
    </cfRule>
    <cfRule type="expression" priority="3" aboveAverage="0" equalAverage="0" bottom="0" percent="0" rank="0" text="" dxfId="1">
      <formula>$L11="Passage proche"</formula>
    </cfRule>
    <cfRule type="expression" priority="4" aboveAverage="0" equalAverage="0" bottom="0" percent="0" rank="0" text="" dxfId="2">
      <formula>$L11="À jour"</formula>
    </cfRule>
    <cfRule type="expression" priority="5" aboveAverage="0" equalAverage="0" bottom="0" percent="0" rank="0" text="" dxfId="3">
      <formula>$L11="Fréquence à choisir"</formula>
    </cfRule>
    <cfRule type="expression" priority="6" aboveAverage="0" equalAverage="0" bottom="0" percent="0" rank="0" text="" dxfId="3">
      <formula>$L11="Premier passage à planifier"</formula>
    </cfRule>
  </conditionalFormatting>
  <conditionalFormatting sqref="K11:K35">
    <cfRule type="expression" priority="7" aboveAverage="0" equalAverage="0" bottom="0" percent="0" rank="0" text="" dxfId="0">
      <formula>AND($K11&lt;&gt;"",$K11&lt;$D$4)</formula>
    </cfRule>
  </conditionalFormatting>
  <conditionalFormatting sqref="H11:H35">
    <cfRule type="expression" priority="8" aboveAverage="0" equalAverage="0" bottom="0" percent="0" rank="0" text="" dxfId="4">
      <formula>AND($C11&lt;&gt;"",$H11="")</formula>
    </cfRule>
  </conditionalFormatting>
  <conditionalFormatting sqref="F11:F35">
    <cfRule type="expression" priority="9" aboveAverage="0" equalAverage="0" bottom="0" percent="0" rank="0" text="" dxfId="4">
      <formula>AND($C11&lt;&gt;"",$F11="")</formula>
    </cfRule>
  </conditionalFormatting>
  <conditionalFormatting sqref="M10:X10">
    <cfRule type="expression" priority="10" aboveAverage="0" equalAverage="0" bottom="0" percent="0" rank="0" text="" dxfId="5">
      <formula>AND($D$4&gt;=M$10,$D$4&lt;EDATE(M$10,1))</formula>
    </cfRule>
  </conditionalFormatting>
  <conditionalFormatting sqref="M11:X35">
    <cfRule type="expression" priority="11" aboveAverage="0" equalAverage="0" bottom="0" percent="0" rank="0" text="" dxfId="0">
      <formula>AND(M11="prévu",EDATE(M$10,1)&lt;=$D$4)</formula>
    </cfRule>
    <cfRule type="expression" priority="12" aboveAverage="0" equalAverage="0" bottom="0" percent="0" rank="0" text="" dxfId="1">
      <formula>M11="prévu"</formula>
    </cfRule>
    <cfRule type="expression" priority="13" aboveAverage="0" equalAverage="0" bottom="0" percent="0" rank="0" text="" dxfId="6">
      <formula>AND(ISNUMBER(M11),M11&gt;0)</formula>
    </cfRule>
  </conditionalFormatting>
  <dataValidations count="3">
    <dataValidation allowBlank="true" errorStyle="stop" operator="between" showDropDown="false" showErrorMessage="false" showInputMessage="false" sqref="B11:B35" type="list">
      <formula1>Listes!$A$4:$A$6</formula1>
      <formula2>0</formula2>
    </dataValidation>
    <dataValidation allowBlank="true" errorStyle="stop" operator="between" showDropDown="false" showErrorMessage="false" showInputMessage="false" sqref="D11:D35" type="list">
      <formula1>Listes!$B$4:$B$13</formula1>
      <formula2>0</formula2>
    </dataValidation>
    <dataValidation allowBlank="true" errorStyle="stop" operator="between" showDropDown="false" showErrorMessage="false" showInputMessage="false" sqref="F11:F35" type="list">
      <formula1>Listes!$C$4:$C$10</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S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9"/>
    <col collapsed="false" customWidth="true" hidden="false" outlineLevel="0" max="4" min="4" style="0" width="22"/>
    <col collapsed="false" customWidth="true" hidden="false" outlineLevel="0" max="5" min="5" style="0" width="28"/>
    <col collapsed="false" customWidth="true" hidden="false" outlineLevel="0" max="6" min="6" style="0" width="14"/>
    <col collapsed="false" customWidth="true" hidden="false" outlineLevel="0" max="7" min="7" style="0" width="30"/>
    <col collapsed="false" customWidth="true" hidden="false" outlineLevel="0" max="8" min="8" style="0" width="18"/>
    <col collapsed="false" customWidth="true" hidden="false" outlineLevel="0" max="9" min="9" style="0" width="26"/>
    <col collapsed="false" customWidth="true" hidden="false" outlineLevel="0" max="10" min="10" style="0" width="11"/>
    <col collapsed="false" customWidth="true" hidden="false" outlineLevel="0" max="11" min="11" style="0" width="16"/>
    <col collapsed="false" customWidth="true" hidden="false" outlineLevel="0" max="12" min="12" style="0" width="10"/>
    <col collapsed="false" customWidth="true" hidden="false" outlineLevel="0" max="13" min="13" style="0" width="20"/>
    <col collapsed="false" customWidth="true" hidden="false" outlineLevel="0" max="14" min="14" style="0" width="26"/>
    <col collapsed="false" customWidth="true" hidden="false" outlineLevel="0" max="15" min="15" style="0" width="15"/>
    <col collapsed="false" customWidth="true" hidden="false" outlineLevel="0" max="17" min="16" style="0" width="11"/>
    <col collapsed="false" customWidth="true" hidden="false" outlineLevel="0" max="18" min="18" style="0" width="22"/>
    <col collapsed="false" customWidth="true" hidden="false" outlineLevel="0" max="19" min="19" style="0" width="18"/>
  </cols>
  <sheetData>
    <row r="1" customFormat="false" ht="21.75" hidden="false" customHeight="true" outlineLevel="0" collapsed="false">
      <c r="A1" s="1" t="s">
        <v>86</v>
      </c>
      <c r="B1" s="2"/>
      <c r="C1" s="2"/>
      <c r="D1" s="2"/>
      <c r="E1" s="2"/>
      <c r="F1" s="2"/>
      <c r="G1" s="2"/>
      <c r="H1" s="2"/>
      <c r="I1" s="2"/>
      <c r="J1" s="2"/>
      <c r="K1" s="2"/>
      <c r="L1" s="2"/>
      <c r="M1" s="2"/>
      <c r="N1" s="2"/>
      <c r="O1" s="2"/>
      <c r="P1" s="2"/>
      <c r="Q1" s="2"/>
      <c r="R1" s="2"/>
      <c r="S1" s="2"/>
    </row>
    <row r="2" customFormat="false" ht="25.5" hidden="false" customHeight="true" outlineLevel="0" collapsed="false">
      <c r="A2" s="3" t="s">
        <v>87</v>
      </c>
    </row>
    <row r="3" customFormat="false" ht="15" hidden="false" customHeight="false" outlineLevel="0" collapsed="false">
      <c r="A3" s="10" t="s">
        <v>88</v>
      </c>
    </row>
    <row r="4" customFormat="false" ht="27.75" hidden="false" customHeight="true" outlineLevel="0" collapsed="false">
      <c r="A4" s="11" t="s">
        <v>31</v>
      </c>
      <c r="B4" s="11"/>
      <c r="C4" s="11"/>
      <c r="D4" s="26" t="n">
        <f aca="false">Planning!$D$4</f>
        <v>46317</v>
      </c>
      <c r="F4" s="11" t="s">
        <v>89</v>
      </c>
      <c r="G4" s="11"/>
      <c r="H4" s="13" t="n">
        <f aca="false">COUNT(B11:B50)</f>
        <v>0</v>
      </c>
      <c r="J4" s="14" t="s">
        <v>90</v>
      </c>
      <c r="K4" s="14"/>
      <c r="L4" s="14"/>
      <c r="M4" s="14"/>
      <c r="N4" s="14"/>
      <c r="O4" s="14"/>
      <c r="P4" s="14"/>
    </row>
    <row r="5" customFormat="false" ht="27.75" hidden="false" customHeight="true" outlineLevel="0" collapsed="false">
      <c r="A5" s="27" t="s">
        <v>91</v>
      </c>
      <c r="B5" s="27"/>
      <c r="C5" s="27"/>
      <c r="D5" s="27"/>
      <c r="F5" s="11" t="s">
        <v>92</v>
      </c>
      <c r="G5" s="11"/>
      <c r="H5" s="13" t="n">
        <f aca="false">SUMPRODUCT(--(S11:S50&lt;&gt;""))-COUNTIF(S11:S50,"Exploité")-COUNTIF(S11:S50,"Sans suite")</f>
        <v>0</v>
      </c>
      <c r="J5" s="14"/>
      <c r="K5" s="14"/>
      <c r="L5" s="14"/>
      <c r="M5" s="14"/>
      <c r="N5" s="14"/>
      <c r="O5" s="14"/>
      <c r="P5" s="14"/>
    </row>
    <row r="6" customFormat="false" ht="27.75" hidden="false" customHeight="true" outlineLevel="0" collapsed="false">
      <c r="A6" s="27" t="s">
        <v>93</v>
      </c>
      <c r="B6" s="27"/>
      <c r="C6" s="27"/>
      <c r="D6" s="27"/>
      <c r="F6" s="11" t="s">
        <v>94</v>
      </c>
      <c r="G6" s="11"/>
      <c r="H6" s="13" t="n">
        <f aca="false">COUNTIF(S11:S50,"À diffuser")</f>
        <v>0</v>
      </c>
      <c r="J6" s="14"/>
      <c r="K6" s="14"/>
      <c r="L6" s="14"/>
      <c r="M6" s="14"/>
      <c r="N6" s="14"/>
      <c r="O6" s="14"/>
      <c r="P6" s="14"/>
    </row>
    <row r="7" customFormat="false" ht="27.75" hidden="false" customHeight="true" outlineLevel="0" collapsed="false">
      <c r="A7" s="27" t="s">
        <v>95</v>
      </c>
      <c r="B7" s="27"/>
      <c r="C7" s="27"/>
      <c r="D7" s="27"/>
      <c r="F7" s="11" t="s">
        <v>96</v>
      </c>
      <c r="G7" s="11"/>
      <c r="H7" s="13" t="n">
        <f aca="false">COUNTIF(S11:S50,"Action en retard")</f>
        <v>0</v>
      </c>
      <c r="J7" s="14"/>
      <c r="K7" s="14"/>
      <c r="L7" s="14"/>
      <c r="M7" s="14"/>
      <c r="N7" s="14"/>
      <c r="O7" s="14"/>
      <c r="P7" s="14"/>
    </row>
    <row r="8" customFormat="false" ht="27.75" hidden="false" customHeight="true" outlineLevel="0" collapsed="false">
      <c r="F8" s="11" t="s">
        <v>97</v>
      </c>
      <c r="G8" s="11"/>
      <c r="H8" s="28" t="str">
        <f aca="false">IFERROR(AVERAGE(L11:L50),"")</f>
        <v/>
      </c>
      <c r="J8" s="14"/>
      <c r="K8" s="14"/>
      <c r="L8" s="14"/>
      <c r="M8" s="14"/>
      <c r="N8" s="14"/>
      <c r="O8" s="14"/>
      <c r="P8" s="14"/>
    </row>
    <row r="9" customFormat="false" ht="19.5" hidden="false" customHeight="true" outlineLevel="0" collapsed="false">
      <c r="A9" s="16" t="s">
        <v>98</v>
      </c>
      <c r="B9" s="16"/>
      <c r="C9" s="16"/>
      <c r="D9" s="16"/>
      <c r="E9" s="16"/>
      <c r="F9" s="16"/>
      <c r="G9" s="17" t="s">
        <v>99</v>
      </c>
      <c r="H9" s="17"/>
      <c r="I9" s="17"/>
      <c r="J9" s="16" t="s">
        <v>100</v>
      </c>
      <c r="K9" s="16"/>
      <c r="L9" s="16"/>
      <c r="M9" s="17" t="s">
        <v>101</v>
      </c>
      <c r="N9" s="17"/>
      <c r="O9" s="17"/>
      <c r="P9" s="17"/>
      <c r="Q9" s="17"/>
      <c r="R9" s="17"/>
      <c r="S9" s="16" t="s">
        <v>102</v>
      </c>
    </row>
    <row r="10" customFormat="false" ht="43.5" hidden="false" customHeight="true" outlineLevel="0" collapsed="false">
      <c r="A10" s="18" t="s">
        <v>44</v>
      </c>
      <c r="B10" s="18" t="s">
        <v>103</v>
      </c>
      <c r="C10" s="18" t="s">
        <v>104</v>
      </c>
      <c r="D10" s="18" t="s">
        <v>45</v>
      </c>
      <c r="E10" s="18" t="s">
        <v>105</v>
      </c>
      <c r="F10" s="18" t="s">
        <v>106</v>
      </c>
      <c r="G10" s="18" t="s">
        <v>107</v>
      </c>
      <c r="H10" s="18" t="s">
        <v>108</v>
      </c>
      <c r="I10" s="18" t="s">
        <v>109</v>
      </c>
      <c r="J10" s="18" t="s">
        <v>110</v>
      </c>
      <c r="K10" s="18" t="s">
        <v>111</v>
      </c>
      <c r="L10" s="18" t="s">
        <v>112</v>
      </c>
      <c r="M10" s="18" t="s">
        <v>113</v>
      </c>
      <c r="N10" s="18" t="s">
        <v>114</v>
      </c>
      <c r="O10" s="18" t="s">
        <v>115</v>
      </c>
      <c r="P10" s="18" t="s">
        <v>116</v>
      </c>
      <c r="Q10" s="18" t="s">
        <v>117</v>
      </c>
      <c r="R10" s="18" t="s">
        <v>118</v>
      </c>
      <c r="S10" s="18" t="s">
        <v>119</v>
      </c>
    </row>
    <row r="11" customFormat="false" ht="21.75" hidden="false" customHeight="true" outlineLevel="0" collapsed="false">
      <c r="A11" s="20" t="n">
        <v>1</v>
      </c>
      <c r="B11" s="23"/>
      <c r="C11" s="29"/>
      <c r="D11" s="30" t="str">
        <f aca="false">IF($C11="","",IFERROR(INDEX(Planning!$B$11:$B$35,MATCH($C11,Planning!$A$11:$A$35,0))&amp;"","Source inconnue"))</f>
        <v/>
      </c>
      <c r="E11" s="30" t="str">
        <f aca="false">IF($C11="","",IFERROR(INDEX(Planning!$C$11:$C$35,MATCH($C11,Planning!$A$11:$A$35,0))&amp;"",""))</f>
        <v/>
      </c>
      <c r="F11" s="21"/>
      <c r="G11" s="21"/>
      <c r="H11" s="21"/>
      <c r="I11" s="21"/>
      <c r="J11" s="23"/>
      <c r="K11" s="21"/>
      <c r="L11" s="22" t="str">
        <f aca="false">IF(AND(B11&lt;&gt;"",J11&lt;&gt;""),J11-B11,"")</f>
        <v/>
      </c>
      <c r="M11" s="21"/>
      <c r="N11" s="21"/>
      <c r="O11" s="21"/>
      <c r="P11" s="23"/>
      <c r="Q11" s="23"/>
      <c r="R11" s="21"/>
      <c r="S11" s="25" t="str">
        <f aca="false">IF(AND(B11="",G11=""),"",IF(H11="","Pertinence à évaluer",IF(H11="Sans objet pour nous","Sans suite",IF(J11="","À diffuser",IF(I11="","Enseignement à rédiger",IF(H11="Utile à l’équipe","Exploité",IF(M11="","Impact à évaluer",IF(AND(M11&lt;&gt;"Aucun",N11=""),"Action à définir",IF(AND(N11&lt;&gt;"",Q11=""),IF(AND(P11&lt;&gt;"",P11&lt;$D$4),"Action en retard","Action en cours"),"Exploité")))))))))</f>
        <v/>
      </c>
    </row>
    <row r="12" customFormat="false" ht="21.75" hidden="false" customHeight="true" outlineLevel="0" collapsed="false">
      <c r="A12" s="20" t="n">
        <v>2</v>
      </c>
      <c r="B12" s="23"/>
      <c r="C12" s="29"/>
      <c r="D12" s="30" t="str">
        <f aca="false">IF($C12="","",IFERROR(INDEX(Planning!$B$11:$B$35,MATCH($C12,Planning!$A$11:$A$35,0))&amp;"","Source inconnue"))</f>
        <v/>
      </c>
      <c r="E12" s="30" t="str">
        <f aca="false">IF($C12="","",IFERROR(INDEX(Planning!$C$11:$C$35,MATCH($C12,Planning!$A$11:$A$35,0))&amp;"",""))</f>
        <v/>
      </c>
      <c r="F12" s="21"/>
      <c r="G12" s="21"/>
      <c r="H12" s="21"/>
      <c r="I12" s="21"/>
      <c r="J12" s="23"/>
      <c r="K12" s="21"/>
      <c r="L12" s="22" t="str">
        <f aca="false">IF(AND(B12&lt;&gt;"",J12&lt;&gt;""),J12-B12,"")</f>
        <v/>
      </c>
      <c r="M12" s="21"/>
      <c r="N12" s="21"/>
      <c r="O12" s="21"/>
      <c r="P12" s="23"/>
      <c r="Q12" s="23"/>
      <c r="R12" s="21"/>
      <c r="S12" s="25" t="str">
        <f aca="false">IF(AND(B12="",G12=""),"",IF(H12="","Pertinence à évaluer",IF(H12="Sans objet pour nous","Sans suite",IF(J12="","À diffuser",IF(I12="","Enseignement à rédiger",IF(H12="Utile à l’équipe","Exploité",IF(M12="","Impact à évaluer",IF(AND(M12&lt;&gt;"Aucun",N12=""),"Action à définir",IF(AND(N12&lt;&gt;"",Q12=""),IF(AND(P12&lt;&gt;"",P12&lt;$D$4),"Action en retard","Action en cours"),"Exploité")))))))))</f>
        <v/>
      </c>
    </row>
    <row r="13" customFormat="false" ht="21.75" hidden="false" customHeight="true" outlineLevel="0" collapsed="false">
      <c r="A13" s="20" t="n">
        <v>3</v>
      </c>
      <c r="B13" s="23"/>
      <c r="C13" s="29"/>
      <c r="D13" s="30" t="str">
        <f aca="false">IF($C13="","",IFERROR(INDEX(Planning!$B$11:$B$35,MATCH($C13,Planning!$A$11:$A$35,0))&amp;"","Source inconnue"))</f>
        <v/>
      </c>
      <c r="E13" s="30" t="str">
        <f aca="false">IF($C13="","",IFERROR(INDEX(Planning!$C$11:$C$35,MATCH($C13,Planning!$A$11:$A$35,0))&amp;"",""))</f>
        <v/>
      </c>
      <c r="F13" s="21"/>
      <c r="G13" s="21"/>
      <c r="H13" s="21"/>
      <c r="I13" s="21"/>
      <c r="J13" s="23"/>
      <c r="K13" s="21"/>
      <c r="L13" s="22" t="str">
        <f aca="false">IF(AND(B13&lt;&gt;"",J13&lt;&gt;""),J13-B13,"")</f>
        <v/>
      </c>
      <c r="M13" s="21"/>
      <c r="N13" s="21"/>
      <c r="O13" s="21"/>
      <c r="P13" s="23"/>
      <c r="Q13" s="23"/>
      <c r="R13" s="21"/>
      <c r="S13" s="25" t="str">
        <f aca="false">IF(AND(B13="",G13=""),"",IF(H13="","Pertinence à évaluer",IF(H13="Sans objet pour nous","Sans suite",IF(J13="","À diffuser",IF(I13="","Enseignement à rédiger",IF(H13="Utile à l’équipe","Exploité",IF(M13="","Impact à évaluer",IF(AND(M13&lt;&gt;"Aucun",N13=""),"Action à définir",IF(AND(N13&lt;&gt;"",Q13=""),IF(AND(P13&lt;&gt;"",P13&lt;$D$4),"Action en retard","Action en cours"),"Exploité")))))))))</f>
        <v/>
      </c>
    </row>
    <row r="14" customFormat="false" ht="21.75" hidden="false" customHeight="true" outlineLevel="0" collapsed="false">
      <c r="A14" s="20" t="n">
        <v>4</v>
      </c>
      <c r="B14" s="23"/>
      <c r="C14" s="29"/>
      <c r="D14" s="30" t="str">
        <f aca="false">IF($C14="","",IFERROR(INDEX(Planning!$B$11:$B$35,MATCH($C14,Planning!$A$11:$A$35,0))&amp;"","Source inconnue"))</f>
        <v/>
      </c>
      <c r="E14" s="30" t="str">
        <f aca="false">IF($C14="","",IFERROR(INDEX(Planning!$C$11:$C$35,MATCH($C14,Planning!$A$11:$A$35,0))&amp;"",""))</f>
        <v/>
      </c>
      <c r="F14" s="21"/>
      <c r="G14" s="21"/>
      <c r="H14" s="21"/>
      <c r="I14" s="21"/>
      <c r="J14" s="23"/>
      <c r="K14" s="21"/>
      <c r="L14" s="22" t="str">
        <f aca="false">IF(AND(B14&lt;&gt;"",J14&lt;&gt;""),J14-B14,"")</f>
        <v/>
      </c>
      <c r="M14" s="21"/>
      <c r="N14" s="21"/>
      <c r="O14" s="21"/>
      <c r="P14" s="23"/>
      <c r="Q14" s="23"/>
      <c r="R14" s="21"/>
      <c r="S14" s="25" t="str">
        <f aca="false">IF(AND(B14="",G14=""),"",IF(H14="","Pertinence à évaluer",IF(H14="Sans objet pour nous","Sans suite",IF(J14="","À diffuser",IF(I14="","Enseignement à rédiger",IF(H14="Utile à l’équipe","Exploité",IF(M14="","Impact à évaluer",IF(AND(M14&lt;&gt;"Aucun",N14=""),"Action à définir",IF(AND(N14&lt;&gt;"",Q14=""),IF(AND(P14&lt;&gt;"",P14&lt;$D$4),"Action en retard","Action en cours"),"Exploité")))))))))</f>
        <v/>
      </c>
    </row>
    <row r="15" customFormat="false" ht="21.75" hidden="false" customHeight="true" outlineLevel="0" collapsed="false">
      <c r="A15" s="20" t="n">
        <v>5</v>
      </c>
      <c r="B15" s="23"/>
      <c r="C15" s="29"/>
      <c r="D15" s="30" t="str">
        <f aca="false">IF($C15="","",IFERROR(INDEX(Planning!$B$11:$B$35,MATCH($C15,Planning!$A$11:$A$35,0))&amp;"","Source inconnue"))</f>
        <v/>
      </c>
      <c r="E15" s="30" t="str">
        <f aca="false">IF($C15="","",IFERROR(INDEX(Planning!$C$11:$C$35,MATCH($C15,Planning!$A$11:$A$35,0))&amp;"",""))</f>
        <v/>
      </c>
      <c r="F15" s="21"/>
      <c r="G15" s="21"/>
      <c r="H15" s="21"/>
      <c r="I15" s="21"/>
      <c r="J15" s="23"/>
      <c r="K15" s="21"/>
      <c r="L15" s="22" t="str">
        <f aca="false">IF(AND(B15&lt;&gt;"",J15&lt;&gt;""),J15-B15,"")</f>
        <v/>
      </c>
      <c r="M15" s="21"/>
      <c r="N15" s="21"/>
      <c r="O15" s="21"/>
      <c r="P15" s="23"/>
      <c r="Q15" s="23"/>
      <c r="R15" s="21"/>
      <c r="S15" s="25" t="str">
        <f aca="false">IF(AND(B15="",G15=""),"",IF(H15="","Pertinence à évaluer",IF(H15="Sans objet pour nous","Sans suite",IF(J15="","À diffuser",IF(I15="","Enseignement à rédiger",IF(H15="Utile à l’équipe","Exploité",IF(M15="","Impact à évaluer",IF(AND(M15&lt;&gt;"Aucun",N15=""),"Action à définir",IF(AND(N15&lt;&gt;"",Q15=""),IF(AND(P15&lt;&gt;"",P15&lt;$D$4),"Action en retard","Action en cours"),"Exploité")))))))))</f>
        <v/>
      </c>
    </row>
    <row r="16" customFormat="false" ht="21.75" hidden="false" customHeight="true" outlineLevel="0" collapsed="false">
      <c r="A16" s="20" t="n">
        <v>6</v>
      </c>
      <c r="B16" s="23"/>
      <c r="C16" s="29"/>
      <c r="D16" s="30" t="str">
        <f aca="false">IF($C16="","",IFERROR(INDEX(Planning!$B$11:$B$35,MATCH($C16,Planning!$A$11:$A$35,0))&amp;"","Source inconnue"))</f>
        <v/>
      </c>
      <c r="E16" s="30" t="str">
        <f aca="false">IF($C16="","",IFERROR(INDEX(Planning!$C$11:$C$35,MATCH($C16,Planning!$A$11:$A$35,0))&amp;"",""))</f>
        <v/>
      </c>
      <c r="F16" s="21"/>
      <c r="G16" s="21"/>
      <c r="H16" s="21"/>
      <c r="I16" s="21"/>
      <c r="J16" s="23"/>
      <c r="K16" s="21"/>
      <c r="L16" s="22" t="str">
        <f aca="false">IF(AND(B16&lt;&gt;"",J16&lt;&gt;""),J16-B16,"")</f>
        <v/>
      </c>
      <c r="M16" s="21"/>
      <c r="N16" s="21"/>
      <c r="O16" s="21"/>
      <c r="P16" s="23"/>
      <c r="Q16" s="23"/>
      <c r="R16" s="21"/>
      <c r="S16" s="25" t="str">
        <f aca="false">IF(AND(B16="",G16=""),"",IF(H16="","Pertinence à évaluer",IF(H16="Sans objet pour nous","Sans suite",IF(J16="","À diffuser",IF(I16="","Enseignement à rédiger",IF(H16="Utile à l’équipe","Exploité",IF(M16="","Impact à évaluer",IF(AND(M16&lt;&gt;"Aucun",N16=""),"Action à définir",IF(AND(N16&lt;&gt;"",Q16=""),IF(AND(P16&lt;&gt;"",P16&lt;$D$4),"Action en retard","Action en cours"),"Exploité")))))))))</f>
        <v/>
      </c>
    </row>
    <row r="17" customFormat="false" ht="21.75" hidden="false" customHeight="true" outlineLevel="0" collapsed="false">
      <c r="A17" s="20" t="n">
        <v>7</v>
      </c>
      <c r="B17" s="23"/>
      <c r="C17" s="29"/>
      <c r="D17" s="30" t="str">
        <f aca="false">IF($C17="","",IFERROR(INDEX(Planning!$B$11:$B$35,MATCH($C17,Planning!$A$11:$A$35,0))&amp;"","Source inconnue"))</f>
        <v/>
      </c>
      <c r="E17" s="30" t="str">
        <f aca="false">IF($C17="","",IFERROR(INDEX(Planning!$C$11:$C$35,MATCH($C17,Planning!$A$11:$A$35,0))&amp;"",""))</f>
        <v/>
      </c>
      <c r="F17" s="21"/>
      <c r="G17" s="21"/>
      <c r="H17" s="21"/>
      <c r="I17" s="21"/>
      <c r="J17" s="23"/>
      <c r="K17" s="21"/>
      <c r="L17" s="22" t="str">
        <f aca="false">IF(AND(B17&lt;&gt;"",J17&lt;&gt;""),J17-B17,"")</f>
        <v/>
      </c>
      <c r="M17" s="21"/>
      <c r="N17" s="21"/>
      <c r="O17" s="21"/>
      <c r="P17" s="23"/>
      <c r="Q17" s="23"/>
      <c r="R17" s="21"/>
      <c r="S17" s="25" t="str">
        <f aca="false">IF(AND(B17="",G17=""),"",IF(H17="","Pertinence à évaluer",IF(H17="Sans objet pour nous","Sans suite",IF(J17="","À diffuser",IF(I17="","Enseignement à rédiger",IF(H17="Utile à l’équipe","Exploité",IF(M17="","Impact à évaluer",IF(AND(M17&lt;&gt;"Aucun",N17=""),"Action à définir",IF(AND(N17&lt;&gt;"",Q17=""),IF(AND(P17&lt;&gt;"",P17&lt;$D$4),"Action en retard","Action en cours"),"Exploité")))))))))</f>
        <v/>
      </c>
    </row>
    <row r="18" customFormat="false" ht="21.75" hidden="false" customHeight="true" outlineLevel="0" collapsed="false">
      <c r="A18" s="20" t="n">
        <v>8</v>
      </c>
      <c r="B18" s="23"/>
      <c r="C18" s="29"/>
      <c r="D18" s="30" t="str">
        <f aca="false">IF($C18="","",IFERROR(INDEX(Planning!$B$11:$B$35,MATCH($C18,Planning!$A$11:$A$35,0))&amp;"","Source inconnue"))</f>
        <v/>
      </c>
      <c r="E18" s="30" t="str">
        <f aca="false">IF($C18="","",IFERROR(INDEX(Planning!$C$11:$C$35,MATCH($C18,Planning!$A$11:$A$35,0))&amp;"",""))</f>
        <v/>
      </c>
      <c r="F18" s="21"/>
      <c r="G18" s="21"/>
      <c r="H18" s="21"/>
      <c r="I18" s="21"/>
      <c r="J18" s="23"/>
      <c r="K18" s="21"/>
      <c r="L18" s="22" t="str">
        <f aca="false">IF(AND(B18&lt;&gt;"",J18&lt;&gt;""),J18-B18,"")</f>
        <v/>
      </c>
      <c r="M18" s="21"/>
      <c r="N18" s="21"/>
      <c r="O18" s="21"/>
      <c r="P18" s="23"/>
      <c r="Q18" s="23"/>
      <c r="R18" s="21"/>
      <c r="S18" s="25" t="str">
        <f aca="false">IF(AND(B18="",G18=""),"",IF(H18="","Pertinence à évaluer",IF(H18="Sans objet pour nous","Sans suite",IF(J18="","À diffuser",IF(I18="","Enseignement à rédiger",IF(H18="Utile à l’équipe","Exploité",IF(M18="","Impact à évaluer",IF(AND(M18&lt;&gt;"Aucun",N18=""),"Action à définir",IF(AND(N18&lt;&gt;"",Q18=""),IF(AND(P18&lt;&gt;"",P18&lt;$D$4),"Action en retard","Action en cours"),"Exploité")))))))))</f>
        <v/>
      </c>
    </row>
    <row r="19" customFormat="false" ht="21.75" hidden="false" customHeight="true" outlineLevel="0" collapsed="false">
      <c r="A19" s="20" t="n">
        <v>9</v>
      </c>
      <c r="B19" s="23"/>
      <c r="C19" s="29"/>
      <c r="D19" s="30" t="str">
        <f aca="false">IF($C19="","",IFERROR(INDEX(Planning!$B$11:$B$35,MATCH($C19,Planning!$A$11:$A$35,0))&amp;"","Source inconnue"))</f>
        <v/>
      </c>
      <c r="E19" s="30" t="str">
        <f aca="false">IF($C19="","",IFERROR(INDEX(Planning!$C$11:$C$35,MATCH($C19,Planning!$A$11:$A$35,0))&amp;"",""))</f>
        <v/>
      </c>
      <c r="F19" s="21"/>
      <c r="G19" s="21"/>
      <c r="H19" s="21"/>
      <c r="I19" s="21"/>
      <c r="J19" s="23"/>
      <c r="K19" s="21"/>
      <c r="L19" s="22" t="str">
        <f aca="false">IF(AND(B19&lt;&gt;"",J19&lt;&gt;""),J19-B19,"")</f>
        <v/>
      </c>
      <c r="M19" s="21"/>
      <c r="N19" s="21"/>
      <c r="O19" s="21"/>
      <c r="P19" s="23"/>
      <c r="Q19" s="23"/>
      <c r="R19" s="21"/>
      <c r="S19" s="25" t="str">
        <f aca="false">IF(AND(B19="",G19=""),"",IF(H19="","Pertinence à évaluer",IF(H19="Sans objet pour nous","Sans suite",IF(J19="","À diffuser",IF(I19="","Enseignement à rédiger",IF(H19="Utile à l’équipe","Exploité",IF(M19="","Impact à évaluer",IF(AND(M19&lt;&gt;"Aucun",N19=""),"Action à définir",IF(AND(N19&lt;&gt;"",Q19=""),IF(AND(P19&lt;&gt;"",P19&lt;$D$4),"Action en retard","Action en cours"),"Exploité")))))))))</f>
        <v/>
      </c>
    </row>
    <row r="20" customFormat="false" ht="21.75" hidden="false" customHeight="true" outlineLevel="0" collapsed="false">
      <c r="A20" s="20" t="n">
        <v>10</v>
      </c>
      <c r="B20" s="23"/>
      <c r="C20" s="29"/>
      <c r="D20" s="30" t="str">
        <f aca="false">IF($C20="","",IFERROR(INDEX(Planning!$B$11:$B$35,MATCH($C20,Planning!$A$11:$A$35,0))&amp;"","Source inconnue"))</f>
        <v/>
      </c>
      <c r="E20" s="30" t="str">
        <f aca="false">IF($C20="","",IFERROR(INDEX(Planning!$C$11:$C$35,MATCH($C20,Planning!$A$11:$A$35,0))&amp;"",""))</f>
        <v/>
      </c>
      <c r="F20" s="21"/>
      <c r="G20" s="21"/>
      <c r="H20" s="21"/>
      <c r="I20" s="21"/>
      <c r="J20" s="23"/>
      <c r="K20" s="21"/>
      <c r="L20" s="22" t="str">
        <f aca="false">IF(AND(B20&lt;&gt;"",J20&lt;&gt;""),J20-B20,"")</f>
        <v/>
      </c>
      <c r="M20" s="21"/>
      <c r="N20" s="21"/>
      <c r="O20" s="21"/>
      <c r="P20" s="23"/>
      <c r="Q20" s="23"/>
      <c r="R20" s="21"/>
      <c r="S20" s="25" t="str">
        <f aca="false">IF(AND(B20="",G20=""),"",IF(H20="","Pertinence à évaluer",IF(H20="Sans objet pour nous","Sans suite",IF(J20="","À diffuser",IF(I20="","Enseignement à rédiger",IF(H20="Utile à l’équipe","Exploité",IF(M20="","Impact à évaluer",IF(AND(M20&lt;&gt;"Aucun",N20=""),"Action à définir",IF(AND(N20&lt;&gt;"",Q20=""),IF(AND(P20&lt;&gt;"",P20&lt;$D$4),"Action en retard","Action en cours"),"Exploité")))))))))</f>
        <v/>
      </c>
    </row>
    <row r="21" customFormat="false" ht="21.75" hidden="false" customHeight="true" outlineLevel="0" collapsed="false">
      <c r="A21" s="20" t="n">
        <v>11</v>
      </c>
      <c r="B21" s="23"/>
      <c r="C21" s="29"/>
      <c r="D21" s="30" t="str">
        <f aca="false">IF($C21="","",IFERROR(INDEX(Planning!$B$11:$B$35,MATCH($C21,Planning!$A$11:$A$35,0))&amp;"","Source inconnue"))</f>
        <v/>
      </c>
      <c r="E21" s="30" t="str">
        <f aca="false">IF($C21="","",IFERROR(INDEX(Planning!$C$11:$C$35,MATCH($C21,Planning!$A$11:$A$35,0))&amp;"",""))</f>
        <v/>
      </c>
      <c r="F21" s="21"/>
      <c r="G21" s="21"/>
      <c r="H21" s="21"/>
      <c r="I21" s="21"/>
      <c r="J21" s="23"/>
      <c r="K21" s="21"/>
      <c r="L21" s="22" t="str">
        <f aca="false">IF(AND(B21&lt;&gt;"",J21&lt;&gt;""),J21-B21,"")</f>
        <v/>
      </c>
      <c r="M21" s="21"/>
      <c r="N21" s="21"/>
      <c r="O21" s="21"/>
      <c r="P21" s="23"/>
      <c r="Q21" s="23"/>
      <c r="R21" s="21"/>
      <c r="S21" s="25" t="str">
        <f aca="false">IF(AND(B21="",G21=""),"",IF(H21="","Pertinence à évaluer",IF(H21="Sans objet pour nous","Sans suite",IF(J21="","À diffuser",IF(I21="","Enseignement à rédiger",IF(H21="Utile à l’équipe","Exploité",IF(M21="","Impact à évaluer",IF(AND(M21&lt;&gt;"Aucun",N21=""),"Action à définir",IF(AND(N21&lt;&gt;"",Q21=""),IF(AND(P21&lt;&gt;"",P21&lt;$D$4),"Action en retard","Action en cours"),"Exploité")))))))))</f>
        <v/>
      </c>
    </row>
    <row r="22" customFormat="false" ht="21.75" hidden="false" customHeight="true" outlineLevel="0" collapsed="false">
      <c r="A22" s="20" t="n">
        <v>12</v>
      </c>
      <c r="B22" s="23"/>
      <c r="C22" s="29"/>
      <c r="D22" s="30" t="str">
        <f aca="false">IF($C22="","",IFERROR(INDEX(Planning!$B$11:$B$35,MATCH($C22,Planning!$A$11:$A$35,0))&amp;"","Source inconnue"))</f>
        <v/>
      </c>
      <c r="E22" s="30" t="str">
        <f aca="false">IF($C22="","",IFERROR(INDEX(Planning!$C$11:$C$35,MATCH($C22,Planning!$A$11:$A$35,0))&amp;"",""))</f>
        <v/>
      </c>
      <c r="F22" s="21"/>
      <c r="G22" s="21"/>
      <c r="H22" s="21"/>
      <c r="I22" s="21"/>
      <c r="J22" s="23"/>
      <c r="K22" s="21"/>
      <c r="L22" s="22" t="str">
        <f aca="false">IF(AND(B22&lt;&gt;"",J22&lt;&gt;""),J22-B22,"")</f>
        <v/>
      </c>
      <c r="M22" s="21"/>
      <c r="N22" s="21"/>
      <c r="O22" s="21"/>
      <c r="P22" s="23"/>
      <c r="Q22" s="23"/>
      <c r="R22" s="21"/>
      <c r="S22" s="25" t="str">
        <f aca="false">IF(AND(B22="",G22=""),"",IF(H22="","Pertinence à évaluer",IF(H22="Sans objet pour nous","Sans suite",IF(J22="","À diffuser",IF(I22="","Enseignement à rédiger",IF(H22="Utile à l’équipe","Exploité",IF(M22="","Impact à évaluer",IF(AND(M22&lt;&gt;"Aucun",N22=""),"Action à définir",IF(AND(N22&lt;&gt;"",Q22=""),IF(AND(P22&lt;&gt;"",P22&lt;$D$4),"Action en retard","Action en cours"),"Exploité")))))))))</f>
        <v/>
      </c>
    </row>
    <row r="23" customFormat="false" ht="21.75" hidden="false" customHeight="true" outlineLevel="0" collapsed="false">
      <c r="A23" s="20" t="n">
        <v>13</v>
      </c>
      <c r="B23" s="23"/>
      <c r="C23" s="29"/>
      <c r="D23" s="30" t="str">
        <f aca="false">IF($C23="","",IFERROR(INDEX(Planning!$B$11:$B$35,MATCH($C23,Planning!$A$11:$A$35,0))&amp;"","Source inconnue"))</f>
        <v/>
      </c>
      <c r="E23" s="30" t="str">
        <f aca="false">IF($C23="","",IFERROR(INDEX(Planning!$C$11:$C$35,MATCH($C23,Planning!$A$11:$A$35,0))&amp;"",""))</f>
        <v/>
      </c>
      <c r="F23" s="21"/>
      <c r="G23" s="21"/>
      <c r="H23" s="21"/>
      <c r="I23" s="21"/>
      <c r="J23" s="23"/>
      <c r="K23" s="21"/>
      <c r="L23" s="22" t="str">
        <f aca="false">IF(AND(B23&lt;&gt;"",J23&lt;&gt;""),J23-B23,"")</f>
        <v/>
      </c>
      <c r="M23" s="21"/>
      <c r="N23" s="21"/>
      <c r="O23" s="21"/>
      <c r="P23" s="23"/>
      <c r="Q23" s="23"/>
      <c r="R23" s="21"/>
      <c r="S23" s="25" t="str">
        <f aca="false">IF(AND(B23="",G23=""),"",IF(H23="","Pertinence à évaluer",IF(H23="Sans objet pour nous","Sans suite",IF(J23="","À diffuser",IF(I23="","Enseignement à rédiger",IF(H23="Utile à l’équipe","Exploité",IF(M23="","Impact à évaluer",IF(AND(M23&lt;&gt;"Aucun",N23=""),"Action à définir",IF(AND(N23&lt;&gt;"",Q23=""),IF(AND(P23&lt;&gt;"",P23&lt;$D$4),"Action en retard","Action en cours"),"Exploité")))))))))</f>
        <v/>
      </c>
    </row>
    <row r="24" customFormat="false" ht="21.75" hidden="false" customHeight="true" outlineLevel="0" collapsed="false">
      <c r="A24" s="20" t="n">
        <v>14</v>
      </c>
      <c r="B24" s="23"/>
      <c r="C24" s="29"/>
      <c r="D24" s="30" t="str">
        <f aca="false">IF($C24="","",IFERROR(INDEX(Planning!$B$11:$B$35,MATCH($C24,Planning!$A$11:$A$35,0))&amp;"","Source inconnue"))</f>
        <v/>
      </c>
      <c r="E24" s="30" t="str">
        <f aca="false">IF($C24="","",IFERROR(INDEX(Planning!$C$11:$C$35,MATCH($C24,Planning!$A$11:$A$35,0))&amp;"",""))</f>
        <v/>
      </c>
      <c r="F24" s="21"/>
      <c r="G24" s="21"/>
      <c r="H24" s="21"/>
      <c r="I24" s="21"/>
      <c r="J24" s="23"/>
      <c r="K24" s="21"/>
      <c r="L24" s="22" t="str">
        <f aca="false">IF(AND(B24&lt;&gt;"",J24&lt;&gt;""),J24-B24,"")</f>
        <v/>
      </c>
      <c r="M24" s="21"/>
      <c r="N24" s="21"/>
      <c r="O24" s="21"/>
      <c r="P24" s="23"/>
      <c r="Q24" s="23"/>
      <c r="R24" s="21"/>
      <c r="S24" s="25" t="str">
        <f aca="false">IF(AND(B24="",G24=""),"",IF(H24="","Pertinence à évaluer",IF(H24="Sans objet pour nous","Sans suite",IF(J24="","À diffuser",IF(I24="","Enseignement à rédiger",IF(H24="Utile à l’équipe","Exploité",IF(M24="","Impact à évaluer",IF(AND(M24&lt;&gt;"Aucun",N24=""),"Action à définir",IF(AND(N24&lt;&gt;"",Q24=""),IF(AND(P24&lt;&gt;"",P24&lt;$D$4),"Action en retard","Action en cours"),"Exploité")))))))))</f>
        <v/>
      </c>
    </row>
    <row r="25" customFormat="false" ht="21.75" hidden="false" customHeight="true" outlineLevel="0" collapsed="false">
      <c r="A25" s="20" t="n">
        <v>15</v>
      </c>
      <c r="B25" s="23"/>
      <c r="C25" s="29"/>
      <c r="D25" s="30" t="str">
        <f aca="false">IF($C25="","",IFERROR(INDEX(Planning!$B$11:$B$35,MATCH($C25,Planning!$A$11:$A$35,0))&amp;"","Source inconnue"))</f>
        <v/>
      </c>
      <c r="E25" s="30" t="str">
        <f aca="false">IF($C25="","",IFERROR(INDEX(Planning!$C$11:$C$35,MATCH($C25,Planning!$A$11:$A$35,0))&amp;"",""))</f>
        <v/>
      </c>
      <c r="F25" s="21"/>
      <c r="G25" s="21"/>
      <c r="H25" s="21"/>
      <c r="I25" s="21"/>
      <c r="J25" s="23"/>
      <c r="K25" s="21"/>
      <c r="L25" s="22" t="str">
        <f aca="false">IF(AND(B25&lt;&gt;"",J25&lt;&gt;""),J25-B25,"")</f>
        <v/>
      </c>
      <c r="M25" s="21"/>
      <c r="N25" s="21"/>
      <c r="O25" s="21"/>
      <c r="P25" s="23"/>
      <c r="Q25" s="23"/>
      <c r="R25" s="21"/>
      <c r="S25" s="25" t="str">
        <f aca="false">IF(AND(B25="",G25=""),"",IF(H25="","Pertinence à évaluer",IF(H25="Sans objet pour nous","Sans suite",IF(J25="","À diffuser",IF(I25="","Enseignement à rédiger",IF(H25="Utile à l’équipe","Exploité",IF(M25="","Impact à évaluer",IF(AND(M25&lt;&gt;"Aucun",N25=""),"Action à définir",IF(AND(N25&lt;&gt;"",Q25=""),IF(AND(P25&lt;&gt;"",P25&lt;$D$4),"Action en retard","Action en cours"),"Exploité")))))))))</f>
        <v/>
      </c>
    </row>
    <row r="26" customFormat="false" ht="21.75" hidden="false" customHeight="true" outlineLevel="0" collapsed="false">
      <c r="A26" s="20" t="n">
        <v>16</v>
      </c>
      <c r="B26" s="23"/>
      <c r="C26" s="29"/>
      <c r="D26" s="30" t="str">
        <f aca="false">IF($C26="","",IFERROR(INDEX(Planning!$B$11:$B$35,MATCH($C26,Planning!$A$11:$A$35,0))&amp;"","Source inconnue"))</f>
        <v/>
      </c>
      <c r="E26" s="30" t="str">
        <f aca="false">IF($C26="","",IFERROR(INDEX(Planning!$C$11:$C$35,MATCH($C26,Planning!$A$11:$A$35,0))&amp;"",""))</f>
        <v/>
      </c>
      <c r="F26" s="21"/>
      <c r="G26" s="21"/>
      <c r="H26" s="21"/>
      <c r="I26" s="21"/>
      <c r="J26" s="23"/>
      <c r="K26" s="21"/>
      <c r="L26" s="22" t="str">
        <f aca="false">IF(AND(B26&lt;&gt;"",J26&lt;&gt;""),J26-B26,"")</f>
        <v/>
      </c>
      <c r="M26" s="21"/>
      <c r="N26" s="21"/>
      <c r="O26" s="21"/>
      <c r="P26" s="23"/>
      <c r="Q26" s="23"/>
      <c r="R26" s="21"/>
      <c r="S26" s="25" t="str">
        <f aca="false">IF(AND(B26="",G26=""),"",IF(H26="","Pertinence à évaluer",IF(H26="Sans objet pour nous","Sans suite",IF(J26="","À diffuser",IF(I26="","Enseignement à rédiger",IF(H26="Utile à l’équipe","Exploité",IF(M26="","Impact à évaluer",IF(AND(M26&lt;&gt;"Aucun",N26=""),"Action à définir",IF(AND(N26&lt;&gt;"",Q26=""),IF(AND(P26&lt;&gt;"",P26&lt;$D$4),"Action en retard","Action en cours"),"Exploité")))))))))</f>
        <v/>
      </c>
    </row>
    <row r="27" customFormat="false" ht="21.75" hidden="false" customHeight="true" outlineLevel="0" collapsed="false">
      <c r="A27" s="20" t="n">
        <v>17</v>
      </c>
      <c r="B27" s="23"/>
      <c r="C27" s="29"/>
      <c r="D27" s="30" t="str">
        <f aca="false">IF($C27="","",IFERROR(INDEX(Planning!$B$11:$B$35,MATCH($C27,Planning!$A$11:$A$35,0))&amp;"","Source inconnue"))</f>
        <v/>
      </c>
      <c r="E27" s="30" t="str">
        <f aca="false">IF($C27="","",IFERROR(INDEX(Planning!$C$11:$C$35,MATCH($C27,Planning!$A$11:$A$35,0))&amp;"",""))</f>
        <v/>
      </c>
      <c r="F27" s="21"/>
      <c r="G27" s="21"/>
      <c r="H27" s="21"/>
      <c r="I27" s="21"/>
      <c r="J27" s="23"/>
      <c r="K27" s="21"/>
      <c r="L27" s="22" t="str">
        <f aca="false">IF(AND(B27&lt;&gt;"",J27&lt;&gt;""),J27-B27,"")</f>
        <v/>
      </c>
      <c r="M27" s="21"/>
      <c r="N27" s="21"/>
      <c r="O27" s="21"/>
      <c r="P27" s="23"/>
      <c r="Q27" s="23"/>
      <c r="R27" s="21"/>
      <c r="S27" s="25" t="str">
        <f aca="false">IF(AND(B27="",G27=""),"",IF(H27="","Pertinence à évaluer",IF(H27="Sans objet pour nous","Sans suite",IF(J27="","À diffuser",IF(I27="","Enseignement à rédiger",IF(H27="Utile à l’équipe","Exploité",IF(M27="","Impact à évaluer",IF(AND(M27&lt;&gt;"Aucun",N27=""),"Action à définir",IF(AND(N27&lt;&gt;"",Q27=""),IF(AND(P27&lt;&gt;"",P27&lt;$D$4),"Action en retard","Action en cours"),"Exploité")))))))))</f>
        <v/>
      </c>
    </row>
    <row r="28" customFormat="false" ht="21.75" hidden="false" customHeight="true" outlineLevel="0" collapsed="false">
      <c r="A28" s="20" t="n">
        <v>18</v>
      </c>
      <c r="B28" s="23"/>
      <c r="C28" s="29"/>
      <c r="D28" s="30" t="str">
        <f aca="false">IF($C28="","",IFERROR(INDEX(Planning!$B$11:$B$35,MATCH($C28,Planning!$A$11:$A$35,0))&amp;"","Source inconnue"))</f>
        <v/>
      </c>
      <c r="E28" s="30" t="str">
        <f aca="false">IF($C28="","",IFERROR(INDEX(Planning!$C$11:$C$35,MATCH($C28,Planning!$A$11:$A$35,0))&amp;"",""))</f>
        <v/>
      </c>
      <c r="F28" s="21"/>
      <c r="G28" s="21"/>
      <c r="H28" s="21"/>
      <c r="I28" s="21"/>
      <c r="J28" s="23"/>
      <c r="K28" s="21"/>
      <c r="L28" s="22" t="str">
        <f aca="false">IF(AND(B28&lt;&gt;"",J28&lt;&gt;""),J28-B28,"")</f>
        <v/>
      </c>
      <c r="M28" s="21"/>
      <c r="N28" s="21"/>
      <c r="O28" s="21"/>
      <c r="P28" s="23"/>
      <c r="Q28" s="23"/>
      <c r="R28" s="21"/>
      <c r="S28" s="25" t="str">
        <f aca="false">IF(AND(B28="",G28=""),"",IF(H28="","Pertinence à évaluer",IF(H28="Sans objet pour nous","Sans suite",IF(J28="","À diffuser",IF(I28="","Enseignement à rédiger",IF(H28="Utile à l’équipe","Exploité",IF(M28="","Impact à évaluer",IF(AND(M28&lt;&gt;"Aucun",N28=""),"Action à définir",IF(AND(N28&lt;&gt;"",Q28=""),IF(AND(P28&lt;&gt;"",P28&lt;$D$4),"Action en retard","Action en cours"),"Exploité")))))))))</f>
        <v/>
      </c>
    </row>
    <row r="29" customFormat="false" ht="21.75" hidden="false" customHeight="true" outlineLevel="0" collapsed="false">
      <c r="A29" s="20" t="n">
        <v>19</v>
      </c>
      <c r="B29" s="23"/>
      <c r="C29" s="29"/>
      <c r="D29" s="30" t="str">
        <f aca="false">IF($C29="","",IFERROR(INDEX(Planning!$B$11:$B$35,MATCH($C29,Planning!$A$11:$A$35,0))&amp;"","Source inconnue"))</f>
        <v/>
      </c>
      <c r="E29" s="30" t="str">
        <f aca="false">IF($C29="","",IFERROR(INDEX(Planning!$C$11:$C$35,MATCH($C29,Planning!$A$11:$A$35,0))&amp;"",""))</f>
        <v/>
      </c>
      <c r="F29" s="21"/>
      <c r="G29" s="21"/>
      <c r="H29" s="21"/>
      <c r="I29" s="21"/>
      <c r="J29" s="23"/>
      <c r="K29" s="21"/>
      <c r="L29" s="22" t="str">
        <f aca="false">IF(AND(B29&lt;&gt;"",J29&lt;&gt;""),J29-B29,"")</f>
        <v/>
      </c>
      <c r="M29" s="21"/>
      <c r="N29" s="21"/>
      <c r="O29" s="21"/>
      <c r="P29" s="23"/>
      <c r="Q29" s="23"/>
      <c r="R29" s="21"/>
      <c r="S29" s="25" t="str">
        <f aca="false">IF(AND(B29="",G29=""),"",IF(H29="","Pertinence à évaluer",IF(H29="Sans objet pour nous","Sans suite",IF(J29="","À diffuser",IF(I29="","Enseignement à rédiger",IF(H29="Utile à l’équipe","Exploité",IF(M29="","Impact à évaluer",IF(AND(M29&lt;&gt;"Aucun",N29=""),"Action à définir",IF(AND(N29&lt;&gt;"",Q29=""),IF(AND(P29&lt;&gt;"",P29&lt;$D$4),"Action en retard","Action en cours"),"Exploité")))))))))</f>
        <v/>
      </c>
    </row>
    <row r="30" customFormat="false" ht="21.75" hidden="false" customHeight="true" outlineLevel="0" collapsed="false">
      <c r="A30" s="20" t="n">
        <v>20</v>
      </c>
      <c r="B30" s="23"/>
      <c r="C30" s="29"/>
      <c r="D30" s="30" t="str">
        <f aca="false">IF($C30="","",IFERROR(INDEX(Planning!$B$11:$B$35,MATCH($C30,Planning!$A$11:$A$35,0))&amp;"","Source inconnue"))</f>
        <v/>
      </c>
      <c r="E30" s="30" t="str">
        <f aca="false">IF($C30="","",IFERROR(INDEX(Planning!$C$11:$C$35,MATCH($C30,Planning!$A$11:$A$35,0))&amp;"",""))</f>
        <v/>
      </c>
      <c r="F30" s="21"/>
      <c r="G30" s="21"/>
      <c r="H30" s="21"/>
      <c r="I30" s="21"/>
      <c r="J30" s="23"/>
      <c r="K30" s="21"/>
      <c r="L30" s="22" t="str">
        <f aca="false">IF(AND(B30&lt;&gt;"",J30&lt;&gt;""),J30-B30,"")</f>
        <v/>
      </c>
      <c r="M30" s="21"/>
      <c r="N30" s="21"/>
      <c r="O30" s="21"/>
      <c r="P30" s="23"/>
      <c r="Q30" s="23"/>
      <c r="R30" s="21"/>
      <c r="S30" s="25" t="str">
        <f aca="false">IF(AND(B30="",G30=""),"",IF(H30="","Pertinence à évaluer",IF(H30="Sans objet pour nous","Sans suite",IF(J30="","À diffuser",IF(I30="","Enseignement à rédiger",IF(H30="Utile à l’équipe","Exploité",IF(M30="","Impact à évaluer",IF(AND(M30&lt;&gt;"Aucun",N30=""),"Action à définir",IF(AND(N30&lt;&gt;"",Q30=""),IF(AND(P30&lt;&gt;"",P30&lt;$D$4),"Action en retard","Action en cours"),"Exploité")))))))))</f>
        <v/>
      </c>
    </row>
    <row r="31" customFormat="false" ht="21.75" hidden="false" customHeight="true" outlineLevel="0" collapsed="false">
      <c r="A31" s="20" t="n">
        <v>21</v>
      </c>
      <c r="B31" s="23"/>
      <c r="C31" s="29"/>
      <c r="D31" s="30" t="str">
        <f aca="false">IF($C31="","",IFERROR(INDEX(Planning!$B$11:$B$35,MATCH($C31,Planning!$A$11:$A$35,0))&amp;"","Source inconnue"))</f>
        <v/>
      </c>
      <c r="E31" s="30" t="str">
        <f aca="false">IF($C31="","",IFERROR(INDEX(Planning!$C$11:$C$35,MATCH($C31,Planning!$A$11:$A$35,0))&amp;"",""))</f>
        <v/>
      </c>
      <c r="F31" s="21"/>
      <c r="G31" s="21"/>
      <c r="H31" s="21"/>
      <c r="I31" s="21"/>
      <c r="J31" s="23"/>
      <c r="K31" s="21"/>
      <c r="L31" s="22" t="str">
        <f aca="false">IF(AND(B31&lt;&gt;"",J31&lt;&gt;""),J31-B31,"")</f>
        <v/>
      </c>
      <c r="M31" s="21"/>
      <c r="N31" s="21"/>
      <c r="O31" s="21"/>
      <c r="P31" s="23"/>
      <c r="Q31" s="23"/>
      <c r="R31" s="21"/>
      <c r="S31" s="25" t="str">
        <f aca="false">IF(AND(B31="",G31=""),"",IF(H31="","Pertinence à évaluer",IF(H31="Sans objet pour nous","Sans suite",IF(J31="","À diffuser",IF(I31="","Enseignement à rédiger",IF(H31="Utile à l’équipe","Exploité",IF(M31="","Impact à évaluer",IF(AND(M31&lt;&gt;"Aucun",N31=""),"Action à définir",IF(AND(N31&lt;&gt;"",Q31=""),IF(AND(P31&lt;&gt;"",P31&lt;$D$4),"Action en retard","Action en cours"),"Exploité")))))))))</f>
        <v/>
      </c>
    </row>
    <row r="32" customFormat="false" ht="21.75" hidden="false" customHeight="true" outlineLevel="0" collapsed="false">
      <c r="A32" s="20" t="n">
        <v>22</v>
      </c>
      <c r="B32" s="23"/>
      <c r="C32" s="29"/>
      <c r="D32" s="30" t="str">
        <f aca="false">IF($C32="","",IFERROR(INDEX(Planning!$B$11:$B$35,MATCH($C32,Planning!$A$11:$A$35,0))&amp;"","Source inconnue"))</f>
        <v/>
      </c>
      <c r="E32" s="30" t="str">
        <f aca="false">IF($C32="","",IFERROR(INDEX(Planning!$C$11:$C$35,MATCH($C32,Planning!$A$11:$A$35,0))&amp;"",""))</f>
        <v/>
      </c>
      <c r="F32" s="21"/>
      <c r="G32" s="21"/>
      <c r="H32" s="21"/>
      <c r="I32" s="21"/>
      <c r="J32" s="23"/>
      <c r="K32" s="21"/>
      <c r="L32" s="22" t="str">
        <f aca="false">IF(AND(B32&lt;&gt;"",J32&lt;&gt;""),J32-B32,"")</f>
        <v/>
      </c>
      <c r="M32" s="21"/>
      <c r="N32" s="21"/>
      <c r="O32" s="21"/>
      <c r="P32" s="23"/>
      <c r="Q32" s="23"/>
      <c r="R32" s="21"/>
      <c r="S32" s="25" t="str">
        <f aca="false">IF(AND(B32="",G32=""),"",IF(H32="","Pertinence à évaluer",IF(H32="Sans objet pour nous","Sans suite",IF(J32="","À diffuser",IF(I32="","Enseignement à rédiger",IF(H32="Utile à l’équipe","Exploité",IF(M32="","Impact à évaluer",IF(AND(M32&lt;&gt;"Aucun",N32=""),"Action à définir",IF(AND(N32&lt;&gt;"",Q32=""),IF(AND(P32&lt;&gt;"",P32&lt;$D$4),"Action en retard","Action en cours"),"Exploité")))))))))</f>
        <v/>
      </c>
    </row>
    <row r="33" customFormat="false" ht="21.75" hidden="false" customHeight="true" outlineLevel="0" collapsed="false">
      <c r="A33" s="20" t="n">
        <v>23</v>
      </c>
      <c r="B33" s="23"/>
      <c r="C33" s="29"/>
      <c r="D33" s="30" t="str">
        <f aca="false">IF($C33="","",IFERROR(INDEX(Planning!$B$11:$B$35,MATCH($C33,Planning!$A$11:$A$35,0))&amp;"","Source inconnue"))</f>
        <v/>
      </c>
      <c r="E33" s="30" t="str">
        <f aca="false">IF($C33="","",IFERROR(INDEX(Planning!$C$11:$C$35,MATCH($C33,Planning!$A$11:$A$35,0))&amp;"",""))</f>
        <v/>
      </c>
      <c r="F33" s="21"/>
      <c r="G33" s="21"/>
      <c r="H33" s="21"/>
      <c r="I33" s="21"/>
      <c r="J33" s="23"/>
      <c r="K33" s="21"/>
      <c r="L33" s="22" t="str">
        <f aca="false">IF(AND(B33&lt;&gt;"",J33&lt;&gt;""),J33-B33,"")</f>
        <v/>
      </c>
      <c r="M33" s="21"/>
      <c r="N33" s="21"/>
      <c r="O33" s="21"/>
      <c r="P33" s="23"/>
      <c r="Q33" s="23"/>
      <c r="R33" s="21"/>
      <c r="S33" s="25" t="str">
        <f aca="false">IF(AND(B33="",G33=""),"",IF(H33="","Pertinence à évaluer",IF(H33="Sans objet pour nous","Sans suite",IF(J33="","À diffuser",IF(I33="","Enseignement à rédiger",IF(H33="Utile à l’équipe","Exploité",IF(M33="","Impact à évaluer",IF(AND(M33&lt;&gt;"Aucun",N33=""),"Action à définir",IF(AND(N33&lt;&gt;"",Q33=""),IF(AND(P33&lt;&gt;"",P33&lt;$D$4),"Action en retard","Action en cours"),"Exploité")))))))))</f>
        <v/>
      </c>
    </row>
    <row r="34" customFormat="false" ht="21.75" hidden="false" customHeight="true" outlineLevel="0" collapsed="false">
      <c r="A34" s="20" t="n">
        <v>24</v>
      </c>
      <c r="B34" s="23"/>
      <c r="C34" s="29"/>
      <c r="D34" s="30" t="str">
        <f aca="false">IF($C34="","",IFERROR(INDEX(Planning!$B$11:$B$35,MATCH($C34,Planning!$A$11:$A$35,0))&amp;"","Source inconnue"))</f>
        <v/>
      </c>
      <c r="E34" s="30" t="str">
        <f aca="false">IF($C34="","",IFERROR(INDEX(Planning!$C$11:$C$35,MATCH($C34,Planning!$A$11:$A$35,0))&amp;"",""))</f>
        <v/>
      </c>
      <c r="F34" s="21"/>
      <c r="G34" s="21"/>
      <c r="H34" s="21"/>
      <c r="I34" s="21"/>
      <c r="J34" s="23"/>
      <c r="K34" s="21"/>
      <c r="L34" s="22" t="str">
        <f aca="false">IF(AND(B34&lt;&gt;"",J34&lt;&gt;""),J34-B34,"")</f>
        <v/>
      </c>
      <c r="M34" s="21"/>
      <c r="N34" s="21"/>
      <c r="O34" s="21"/>
      <c r="P34" s="23"/>
      <c r="Q34" s="23"/>
      <c r="R34" s="21"/>
      <c r="S34" s="25" t="str">
        <f aca="false">IF(AND(B34="",G34=""),"",IF(H34="","Pertinence à évaluer",IF(H34="Sans objet pour nous","Sans suite",IF(J34="","À diffuser",IF(I34="","Enseignement à rédiger",IF(H34="Utile à l’équipe","Exploité",IF(M34="","Impact à évaluer",IF(AND(M34&lt;&gt;"Aucun",N34=""),"Action à définir",IF(AND(N34&lt;&gt;"",Q34=""),IF(AND(P34&lt;&gt;"",P34&lt;$D$4),"Action en retard","Action en cours"),"Exploité")))))))))</f>
        <v/>
      </c>
    </row>
    <row r="35" customFormat="false" ht="21.75" hidden="false" customHeight="true" outlineLevel="0" collapsed="false">
      <c r="A35" s="20" t="n">
        <v>25</v>
      </c>
      <c r="B35" s="23"/>
      <c r="C35" s="29"/>
      <c r="D35" s="30" t="str">
        <f aca="false">IF($C35="","",IFERROR(INDEX(Planning!$B$11:$B$35,MATCH($C35,Planning!$A$11:$A$35,0))&amp;"","Source inconnue"))</f>
        <v/>
      </c>
      <c r="E35" s="30" t="str">
        <f aca="false">IF($C35="","",IFERROR(INDEX(Planning!$C$11:$C$35,MATCH($C35,Planning!$A$11:$A$35,0))&amp;"",""))</f>
        <v/>
      </c>
      <c r="F35" s="21"/>
      <c r="G35" s="21"/>
      <c r="H35" s="21"/>
      <c r="I35" s="21"/>
      <c r="J35" s="23"/>
      <c r="K35" s="21"/>
      <c r="L35" s="22" t="str">
        <f aca="false">IF(AND(B35&lt;&gt;"",J35&lt;&gt;""),J35-B35,"")</f>
        <v/>
      </c>
      <c r="M35" s="21"/>
      <c r="N35" s="21"/>
      <c r="O35" s="21"/>
      <c r="P35" s="23"/>
      <c r="Q35" s="23"/>
      <c r="R35" s="21"/>
      <c r="S35" s="25" t="str">
        <f aca="false">IF(AND(B35="",G35=""),"",IF(H35="","Pertinence à évaluer",IF(H35="Sans objet pour nous","Sans suite",IF(J35="","À diffuser",IF(I35="","Enseignement à rédiger",IF(H35="Utile à l’équipe","Exploité",IF(M35="","Impact à évaluer",IF(AND(M35&lt;&gt;"Aucun",N35=""),"Action à définir",IF(AND(N35&lt;&gt;"",Q35=""),IF(AND(P35&lt;&gt;"",P35&lt;$D$4),"Action en retard","Action en cours"),"Exploité")))))))))</f>
        <v/>
      </c>
    </row>
    <row r="36" customFormat="false" ht="21.75" hidden="false" customHeight="true" outlineLevel="0" collapsed="false">
      <c r="A36" s="20" t="n">
        <v>26</v>
      </c>
      <c r="B36" s="23"/>
      <c r="C36" s="29"/>
      <c r="D36" s="30" t="str">
        <f aca="false">IF($C36="","",IFERROR(INDEX(Planning!$B$11:$B$35,MATCH($C36,Planning!$A$11:$A$35,0))&amp;"","Source inconnue"))</f>
        <v/>
      </c>
      <c r="E36" s="30" t="str">
        <f aca="false">IF($C36="","",IFERROR(INDEX(Planning!$C$11:$C$35,MATCH($C36,Planning!$A$11:$A$35,0))&amp;"",""))</f>
        <v/>
      </c>
      <c r="F36" s="21"/>
      <c r="G36" s="21"/>
      <c r="H36" s="21"/>
      <c r="I36" s="21"/>
      <c r="J36" s="23"/>
      <c r="K36" s="21"/>
      <c r="L36" s="22" t="str">
        <f aca="false">IF(AND(B36&lt;&gt;"",J36&lt;&gt;""),J36-B36,"")</f>
        <v/>
      </c>
      <c r="M36" s="21"/>
      <c r="N36" s="21"/>
      <c r="O36" s="21"/>
      <c r="P36" s="23"/>
      <c r="Q36" s="23"/>
      <c r="R36" s="21"/>
      <c r="S36" s="25" t="str">
        <f aca="false">IF(AND(B36="",G36=""),"",IF(H36="","Pertinence à évaluer",IF(H36="Sans objet pour nous","Sans suite",IF(J36="","À diffuser",IF(I36="","Enseignement à rédiger",IF(H36="Utile à l’équipe","Exploité",IF(M36="","Impact à évaluer",IF(AND(M36&lt;&gt;"Aucun",N36=""),"Action à définir",IF(AND(N36&lt;&gt;"",Q36=""),IF(AND(P36&lt;&gt;"",P36&lt;$D$4),"Action en retard","Action en cours"),"Exploité")))))))))</f>
        <v/>
      </c>
    </row>
    <row r="37" customFormat="false" ht="21.75" hidden="false" customHeight="true" outlineLevel="0" collapsed="false">
      <c r="A37" s="20" t="n">
        <v>27</v>
      </c>
      <c r="B37" s="23"/>
      <c r="C37" s="29"/>
      <c r="D37" s="30" t="str">
        <f aca="false">IF($C37="","",IFERROR(INDEX(Planning!$B$11:$B$35,MATCH($C37,Planning!$A$11:$A$35,0))&amp;"","Source inconnue"))</f>
        <v/>
      </c>
      <c r="E37" s="30" t="str">
        <f aca="false">IF($C37="","",IFERROR(INDEX(Planning!$C$11:$C$35,MATCH($C37,Planning!$A$11:$A$35,0))&amp;"",""))</f>
        <v/>
      </c>
      <c r="F37" s="21"/>
      <c r="G37" s="21"/>
      <c r="H37" s="21"/>
      <c r="I37" s="21"/>
      <c r="J37" s="23"/>
      <c r="K37" s="21"/>
      <c r="L37" s="22" t="str">
        <f aca="false">IF(AND(B37&lt;&gt;"",J37&lt;&gt;""),J37-B37,"")</f>
        <v/>
      </c>
      <c r="M37" s="21"/>
      <c r="N37" s="21"/>
      <c r="O37" s="21"/>
      <c r="P37" s="23"/>
      <c r="Q37" s="23"/>
      <c r="R37" s="21"/>
      <c r="S37" s="25" t="str">
        <f aca="false">IF(AND(B37="",G37=""),"",IF(H37="","Pertinence à évaluer",IF(H37="Sans objet pour nous","Sans suite",IF(J37="","À diffuser",IF(I37="","Enseignement à rédiger",IF(H37="Utile à l’équipe","Exploité",IF(M37="","Impact à évaluer",IF(AND(M37&lt;&gt;"Aucun",N37=""),"Action à définir",IF(AND(N37&lt;&gt;"",Q37=""),IF(AND(P37&lt;&gt;"",P37&lt;$D$4),"Action en retard","Action en cours"),"Exploité")))))))))</f>
        <v/>
      </c>
    </row>
    <row r="38" customFormat="false" ht="21.75" hidden="false" customHeight="true" outlineLevel="0" collapsed="false">
      <c r="A38" s="20" t="n">
        <v>28</v>
      </c>
      <c r="B38" s="23"/>
      <c r="C38" s="29"/>
      <c r="D38" s="30" t="str">
        <f aca="false">IF($C38="","",IFERROR(INDEX(Planning!$B$11:$B$35,MATCH($C38,Planning!$A$11:$A$35,0))&amp;"","Source inconnue"))</f>
        <v/>
      </c>
      <c r="E38" s="30" t="str">
        <f aca="false">IF($C38="","",IFERROR(INDEX(Planning!$C$11:$C$35,MATCH($C38,Planning!$A$11:$A$35,0))&amp;"",""))</f>
        <v/>
      </c>
      <c r="F38" s="21"/>
      <c r="G38" s="21"/>
      <c r="H38" s="21"/>
      <c r="I38" s="21"/>
      <c r="J38" s="23"/>
      <c r="K38" s="21"/>
      <c r="L38" s="22" t="str">
        <f aca="false">IF(AND(B38&lt;&gt;"",J38&lt;&gt;""),J38-B38,"")</f>
        <v/>
      </c>
      <c r="M38" s="21"/>
      <c r="N38" s="21"/>
      <c r="O38" s="21"/>
      <c r="P38" s="23"/>
      <c r="Q38" s="23"/>
      <c r="R38" s="21"/>
      <c r="S38" s="25" t="str">
        <f aca="false">IF(AND(B38="",G38=""),"",IF(H38="","Pertinence à évaluer",IF(H38="Sans objet pour nous","Sans suite",IF(J38="","À diffuser",IF(I38="","Enseignement à rédiger",IF(H38="Utile à l’équipe","Exploité",IF(M38="","Impact à évaluer",IF(AND(M38&lt;&gt;"Aucun",N38=""),"Action à définir",IF(AND(N38&lt;&gt;"",Q38=""),IF(AND(P38&lt;&gt;"",P38&lt;$D$4),"Action en retard","Action en cours"),"Exploité")))))))))</f>
        <v/>
      </c>
    </row>
    <row r="39" customFormat="false" ht="21.75" hidden="false" customHeight="true" outlineLevel="0" collapsed="false">
      <c r="A39" s="20" t="n">
        <v>29</v>
      </c>
      <c r="B39" s="23"/>
      <c r="C39" s="29"/>
      <c r="D39" s="30" t="str">
        <f aca="false">IF($C39="","",IFERROR(INDEX(Planning!$B$11:$B$35,MATCH($C39,Planning!$A$11:$A$35,0))&amp;"","Source inconnue"))</f>
        <v/>
      </c>
      <c r="E39" s="30" t="str">
        <f aca="false">IF($C39="","",IFERROR(INDEX(Planning!$C$11:$C$35,MATCH($C39,Planning!$A$11:$A$35,0))&amp;"",""))</f>
        <v/>
      </c>
      <c r="F39" s="21"/>
      <c r="G39" s="21"/>
      <c r="H39" s="21"/>
      <c r="I39" s="21"/>
      <c r="J39" s="23"/>
      <c r="K39" s="21"/>
      <c r="L39" s="22" t="str">
        <f aca="false">IF(AND(B39&lt;&gt;"",J39&lt;&gt;""),J39-B39,"")</f>
        <v/>
      </c>
      <c r="M39" s="21"/>
      <c r="N39" s="21"/>
      <c r="O39" s="21"/>
      <c r="P39" s="23"/>
      <c r="Q39" s="23"/>
      <c r="R39" s="21"/>
      <c r="S39" s="25" t="str">
        <f aca="false">IF(AND(B39="",G39=""),"",IF(H39="","Pertinence à évaluer",IF(H39="Sans objet pour nous","Sans suite",IF(J39="","À diffuser",IF(I39="","Enseignement à rédiger",IF(H39="Utile à l’équipe","Exploité",IF(M39="","Impact à évaluer",IF(AND(M39&lt;&gt;"Aucun",N39=""),"Action à définir",IF(AND(N39&lt;&gt;"",Q39=""),IF(AND(P39&lt;&gt;"",P39&lt;$D$4),"Action en retard","Action en cours"),"Exploité")))))))))</f>
        <v/>
      </c>
    </row>
    <row r="40" customFormat="false" ht="21.75" hidden="false" customHeight="true" outlineLevel="0" collapsed="false">
      <c r="A40" s="20" t="n">
        <v>30</v>
      </c>
      <c r="B40" s="23"/>
      <c r="C40" s="29"/>
      <c r="D40" s="30" t="str">
        <f aca="false">IF($C40="","",IFERROR(INDEX(Planning!$B$11:$B$35,MATCH($C40,Planning!$A$11:$A$35,0))&amp;"","Source inconnue"))</f>
        <v/>
      </c>
      <c r="E40" s="30" t="str">
        <f aca="false">IF($C40="","",IFERROR(INDEX(Planning!$C$11:$C$35,MATCH($C40,Planning!$A$11:$A$35,0))&amp;"",""))</f>
        <v/>
      </c>
      <c r="F40" s="21"/>
      <c r="G40" s="21"/>
      <c r="H40" s="21"/>
      <c r="I40" s="21"/>
      <c r="J40" s="23"/>
      <c r="K40" s="21"/>
      <c r="L40" s="22" t="str">
        <f aca="false">IF(AND(B40&lt;&gt;"",J40&lt;&gt;""),J40-B40,"")</f>
        <v/>
      </c>
      <c r="M40" s="21"/>
      <c r="N40" s="21"/>
      <c r="O40" s="21"/>
      <c r="P40" s="23"/>
      <c r="Q40" s="23"/>
      <c r="R40" s="21"/>
      <c r="S40" s="25" t="str">
        <f aca="false">IF(AND(B40="",G40=""),"",IF(H40="","Pertinence à évaluer",IF(H40="Sans objet pour nous","Sans suite",IF(J40="","À diffuser",IF(I40="","Enseignement à rédiger",IF(H40="Utile à l’équipe","Exploité",IF(M40="","Impact à évaluer",IF(AND(M40&lt;&gt;"Aucun",N40=""),"Action à définir",IF(AND(N40&lt;&gt;"",Q40=""),IF(AND(P40&lt;&gt;"",P40&lt;$D$4),"Action en retard","Action en cours"),"Exploité")))))))))</f>
        <v/>
      </c>
    </row>
    <row r="41" customFormat="false" ht="21.75" hidden="false" customHeight="true" outlineLevel="0" collapsed="false">
      <c r="A41" s="20" t="n">
        <v>31</v>
      </c>
      <c r="B41" s="23"/>
      <c r="C41" s="29"/>
      <c r="D41" s="30" t="str">
        <f aca="false">IF($C41="","",IFERROR(INDEX(Planning!$B$11:$B$35,MATCH($C41,Planning!$A$11:$A$35,0))&amp;"","Source inconnue"))</f>
        <v/>
      </c>
      <c r="E41" s="30" t="str">
        <f aca="false">IF($C41="","",IFERROR(INDEX(Planning!$C$11:$C$35,MATCH($C41,Planning!$A$11:$A$35,0))&amp;"",""))</f>
        <v/>
      </c>
      <c r="F41" s="21"/>
      <c r="G41" s="21"/>
      <c r="H41" s="21"/>
      <c r="I41" s="21"/>
      <c r="J41" s="23"/>
      <c r="K41" s="21"/>
      <c r="L41" s="22" t="str">
        <f aca="false">IF(AND(B41&lt;&gt;"",J41&lt;&gt;""),J41-B41,"")</f>
        <v/>
      </c>
      <c r="M41" s="21"/>
      <c r="N41" s="21"/>
      <c r="O41" s="21"/>
      <c r="P41" s="23"/>
      <c r="Q41" s="23"/>
      <c r="R41" s="21"/>
      <c r="S41" s="25" t="str">
        <f aca="false">IF(AND(B41="",G41=""),"",IF(H41="","Pertinence à évaluer",IF(H41="Sans objet pour nous","Sans suite",IF(J41="","À diffuser",IF(I41="","Enseignement à rédiger",IF(H41="Utile à l’équipe","Exploité",IF(M41="","Impact à évaluer",IF(AND(M41&lt;&gt;"Aucun",N41=""),"Action à définir",IF(AND(N41&lt;&gt;"",Q41=""),IF(AND(P41&lt;&gt;"",P41&lt;$D$4),"Action en retard","Action en cours"),"Exploité")))))))))</f>
        <v/>
      </c>
    </row>
    <row r="42" customFormat="false" ht="21.75" hidden="false" customHeight="true" outlineLevel="0" collapsed="false">
      <c r="A42" s="20" t="n">
        <v>32</v>
      </c>
      <c r="B42" s="23"/>
      <c r="C42" s="29"/>
      <c r="D42" s="30" t="str">
        <f aca="false">IF($C42="","",IFERROR(INDEX(Planning!$B$11:$B$35,MATCH($C42,Planning!$A$11:$A$35,0))&amp;"","Source inconnue"))</f>
        <v/>
      </c>
      <c r="E42" s="30" t="str">
        <f aca="false">IF($C42="","",IFERROR(INDEX(Planning!$C$11:$C$35,MATCH($C42,Planning!$A$11:$A$35,0))&amp;"",""))</f>
        <v/>
      </c>
      <c r="F42" s="21"/>
      <c r="G42" s="21"/>
      <c r="H42" s="21"/>
      <c r="I42" s="21"/>
      <c r="J42" s="23"/>
      <c r="K42" s="21"/>
      <c r="L42" s="22" t="str">
        <f aca="false">IF(AND(B42&lt;&gt;"",J42&lt;&gt;""),J42-B42,"")</f>
        <v/>
      </c>
      <c r="M42" s="21"/>
      <c r="N42" s="21"/>
      <c r="O42" s="21"/>
      <c r="P42" s="23"/>
      <c r="Q42" s="23"/>
      <c r="R42" s="21"/>
      <c r="S42" s="25" t="str">
        <f aca="false">IF(AND(B42="",G42=""),"",IF(H42="","Pertinence à évaluer",IF(H42="Sans objet pour nous","Sans suite",IF(J42="","À diffuser",IF(I42="","Enseignement à rédiger",IF(H42="Utile à l’équipe","Exploité",IF(M42="","Impact à évaluer",IF(AND(M42&lt;&gt;"Aucun",N42=""),"Action à définir",IF(AND(N42&lt;&gt;"",Q42=""),IF(AND(P42&lt;&gt;"",P42&lt;$D$4),"Action en retard","Action en cours"),"Exploité")))))))))</f>
        <v/>
      </c>
    </row>
    <row r="43" customFormat="false" ht="21.75" hidden="false" customHeight="true" outlineLevel="0" collapsed="false">
      <c r="A43" s="20" t="n">
        <v>33</v>
      </c>
      <c r="B43" s="23"/>
      <c r="C43" s="29"/>
      <c r="D43" s="30" t="str">
        <f aca="false">IF($C43="","",IFERROR(INDEX(Planning!$B$11:$B$35,MATCH($C43,Planning!$A$11:$A$35,0))&amp;"","Source inconnue"))</f>
        <v/>
      </c>
      <c r="E43" s="30" t="str">
        <f aca="false">IF($C43="","",IFERROR(INDEX(Planning!$C$11:$C$35,MATCH($C43,Planning!$A$11:$A$35,0))&amp;"",""))</f>
        <v/>
      </c>
      <c r="F43" s="21"/>
      <c r="G43" s="21"/>
      <c r="H43" s="21"/>
      <c r="I43" s="21"/>
      <c r="J43" s="23"/>
      <c r="K43" s="21"/>
      <c r="L43" s="22" t="str">
        <f aca="false">IF(AND(B43&lt;&gt;"",J43&lt;&gt;""),J43-B43,"")</f>
        <v/>
      </c>
      <c r="M43" s="21"/>
      <c r="N43" s="21"/>
      <c r="O43" s="21"/>
      <c r="P43" s="23"/>
      <c r="Q43" s="23"/>
      <c r="R43" s="21"/>
      <c r="S43" s="25" t="str">
        <f aca="false">IF(AND(B43="",G43=""),"",IF(H43="","Pertinence à évaluer",IF(H43="Sans objet pour nous","Sans suite",IF(J43="","À diffuser",IF(I43="","Enseignement à rédiger",IF(H43="Utile à l’équipe","Exploité",IF(M43="","Impact à évaluer",IF(AND(M43&lt;&gt;"Aucun",N43=""),"Action à définir",IF(AND(N43&lt;&gt;"",Q43=""),IF(AND(P43&lt;&gt;"",P43&lt;$D$4),"Action en retard","Action en cours"),"Exploité")))))))))</f>
        <v/>
      </c>
    </row>
    <row r="44" customFormat="false" ht="21.75" hidden="false" customHeight="true" outlineLevel="0" collapsed="false">
      <c r="A44" s="20" t="n">
        <v>34</v>
      </c>
      <c r="B44" s="23"/>
      <c r="C44" s="29"/>
      <c r="D44" s="30" t="str">
        <f aca="false">IF($C44="","",IFERROR(INDEX(Planning!$B$11:$B$35,MATCH($C44,Planning!$A$11:$A$35,0))&amp;"","Source inconnue"))</f>
        <v/>
      </c>
      <c r="E44" s="30" t="str">
        <f aca="false">IF($C44="","",IFERROR(INDEX(Planning!$C$11:$C$35,MATCH($C44,Planning!$A$11:$A$35,0))&amp;"",""))</f>
        <v/>
      </c>
      <c r="F44" s="21"/>
      <c r="G44" s="21"/>
      <c r="H44" s="21"/>
      <c r="I44" s="21"/>
      <c r="J44" s="23"/>
      <c r="K44" s="21"/>
      <c r="L44" s="22" t="str">
        <f aca="false">IF(AND(B44&lt;&gt;"",J44&lt;&gt;""),J44-B44,"")</f>
        <v/>
      </c>
      <c r="M44" s="21"/>
      <c r="N44" s="21"/>
      <c r="O44" s="21"/>
      <c r="P44" s="23"/>
      <c r="Q44" s="23"/>
      <c r="R44" s="21"/>
      <c r="S44" s="25" t="str">
        <f aca="false">IF(AND(B44="",G44=""),"",IF(H44="","Pertinence à évaluer",IF(H44="Sans objet pour nous","Sans suite",IF(J44="","À diffuser",IF(I44="","Enseignement à rédiger",IF(H44="Utile à l’équipe","Exploité",IF(M44="","Impact à évaluer",IF(AND(M44&lt;&gt;"Aucun",N44=""),"Action à définir",IF(AND(N44&lt;&gt;"",Q44=""),IF(AND(P44&lt;&gt;"",P44&lt;$D$4),"Action en retard","Action en cours"),"Exploité")))))))))</f>
        <v/>
      </c>
    </row>
    <row r="45" customFormat="false" ht="21.75" hidden="false" customHeight="true" outlineLevel="0" collapsed="false">
      <c r="A45" s="20" t="n">
        <v>35</v>
      </c>
      <c r="B45" s="23"/>
      <c r="C45" s="29"/>
      <c r="D45" s="30" t="str">
        <f aca="false">IF($C45="","",IFERROR(INDEX(Planning!$B$11:$B$35,MATCH($C45,Planning!$A$11:$A$35,0))&amp;"","Source inconnue"))</f>
        <v/>
      </c>
      <c r="E45" s="30" t="str">
        <f aca="false">IF($C45="","",IFERROR(INDEX(Planning!$C$11:$C$35,MATCH($C45,Planning!$A$11:$A$35,0))&amp;"",""))</f>
        <v/>
      </c>
      <c r="F45" s="21"/>
      <c r="G45" s="21"/>
      <c r="H45" s="21"/>
      <c r="I45" s="21"/>
      <c r="J45" s="23"/>
      <c r="K45" s="21"/>
      <c r="L45" s="22" t="str">
        <f aca="false">IF(AND(B45&lt;&gt;"",J45&lt;&gt;""),J45-B45,"")</f>
        <v/>
      </c>
      <c r="M45" s="21"/>
      <c r="N45" s="21"/>
      <c r="O45" s="21"/>
      <c r="P45" s="23"/>
      <c r="Q45" s="23"/>
      <c r="R45" s="21"/>
      <c r="S45" s="25" t="str">
        <f aca="false">IF(AND(B45="",G45=""),"",IF(H45="","Pertinence à évaluer",IF(H45="Sans objet pour nous","Sans suite",IF(J45="","À diffuser",IF(I45="","Enseignement à rédiger",IF(H45="Utile à l’équipe","Exploité",IF(M45="","Impact à évaluer",IF(AND(M45&lt;&gt;"Aucun",N45=""),"Action à définir",IF(AND(N45&lt;&gt;"",Q45=""),IF(AND(P45&lt;&gt;"",P45&lt;$D$4),"Action en retard","Action en cours"),"Exploité")))))))))</f>
        <v/>
      </c>
    </row>
    <row r="46" customFormat="false" ht="21.75" hidden="false" customHeight="true" outlineLevel="0" collapsed="false">
      <c r="A46" s="20" t="n">
        <v>36</v>
      </c>
      <c r="B46" s="23"/>
      <c r="C46" s="29"/>
      <c r="D46" s="30" t="str">
        <f aca="false">IF($C46="","",IFERROR(INDEX(Planning!$B$11:$B$35,MATCH($C46,Planning!$A$11:$A$35,0))&amp;"","Source inconnue"))</f>
        <v/>
      </c>
      <c r="E46" s="30" t="str">
        <f aca="false">IF($C46="","",IFERROR(INDEX(Planning!$C$11:$C$35,MATCH($C46,Planning!$A$11:$A$35,0))&amp;"",""))</f>
        <v/>
      </c>
      <c r="F46" s="21"/>
      <c r="G46" s="21"/>
      <c r="H46" s="21"/>
      <c r="I46" s="21"/>
      <c r="J46" s="23"/>
      <c r="K46" s="21"/>
      <c r="L46" s="22" t="str">
        <f aca="false">IF(AND(B46&lt;&gt;"",J46&lt;&gt;""),J46-B46,"")</f>
        <v/>
      </c>
      <c r="M46" s="21"/>
      <c r="N46" s="21"/>
      <c r="O46" s="21"/>
      <c r="P46" s="23"/>
      <c r="Q46" s="23"/>
      <c r="R46" s="21"/>
      <c r="S46" s="25" t="str">
        <f aca="false">IF(AND(B46="",G46=""),"",IF(H46="","Pertinence à évaluer",IF(H46="Sans objet pour nous","Sans suite",IF(J46="","À diffuser",IF(I46="","Enseignement à rédiger",IF(H46="Utile à l’équipe","Exploité",IF(M46="","Impact à évaluer",IF(AND(M46&lt;&gt;"Aucun",N46=""),"Action à définir",IF(AND(N46&lt;&gt;"",Q46=""),IF(AND(P46&lt;&gt;"",P46&lt;$D$4),"Action en retard","Action en cours"),"Exploité")))))))))</f>
        <v/>
      </c>
    </row>
    <row r="47" customFormat="false" ht="21.75" hidden="false" customHeight="true" outlineLevel="0" collapsed="false">
      <c r="A47" s="20" t="n">
        <v>37</v>
      </c>
      <c r="B47" s="23"/>
      <c r="C47" s="29"/>
      <c r="D47" s="30" t="str">
        <f aca="false">IF($C47="","",IFERROR(INDEX(Planning!$B$11:$B$35,MATCH($C47,Planning!$A$11:$A$35,0))&amp;"","Source inconnue"))</f>
        <v/>
      </c>
      <c r="E47" s="30" t="str">
        <f aca="false">IF($C47="","",IFERROR(INDEX(Planning!$C$11:$C$35,MATCH($C47,Planning!$A$11:$A$35,0))&amp;"",""))</f>
        <v/>
      </c>
      <c r="F47" s="21"/>
      <c r="G47" s="21"/>
      <c r="H47" s="21"/>
      <c r="I47" s="21"/>
      <c r="J47" s="23"/>
      <c r="K47" s="21"/>
      <c r="L47" s="22" t="str">
        <f aca="false">IF(AND(B47&lt;&gt;"",J47&lt;&gt;""),J47-B47,"")</f>
        <v/>
      </c>
      <c r="M47" s="21"/>
      <c r="N47" s="21"/>
      <c r="O47" s="21"/>
      <c r="P47" s="23"/>
      <c r="Q47" s="23"/>
      <c r="R47" s="21"/>
      <c r="S47" s="25" t="str">
        <f aca="false">IF(AND(B47="",G47=""),"",IF(H47="","Pertinence à évaluer",IF(H47="Sans objet pour nous","Sans suite",IF(J47="","À diffuser",IF(I47="","Enseignement à rédiger",IF(H47="Utile à l’équipe","Exploité",IF(M47="","Impact à évaluer",IF(AND(M47&lt;&gt;"Aucun",N47=""),"Action à définir",IF(AND(N47&lt;&gt;"",Q47=""),IF(AND(P47&lt;&gt;"",P47&lt;$D$4),"Action en retard","Action en cours"),"Exploité")))))))))</f>
        <v/>
      </c>
    </row>
    <row r="48" customFormat="false" ht="21.75" hidden="false" customHeight="true" outlineLevel="0" collapsed="false">
      <c r="A48" s="20" t="n">
        <v>38</v>
      </c>
      <c r="B48" s="23"/>
      <c r="C48" s="29"/>
      <c r="D48" s="30" t="str">
        <f aca="false">IF($C48="","",IFERROR(INDEX(Planning!$B$11:$B$35,MATCH($C48,Planning!$A$11:$A$35,0))&amp;"","Source inconnue"))</f>
        <v/>
      </c>
      <c r="E48" s="30" t="str">
        <f aca="false">IF($C48="","",IFERROR(INDEX(Planning!$C$11:$C$35,MATCH($C48,Planning!$A$11:$A$35,0))&amp;"",""))</f>
        <v/>
      </c>
      <c r="F48" s="21"/>
      <c r="G48" s="21"/>
      <c r="H48" s="21"/>
      <c r="I48" s="21"/>
      <c r="J48" s="23"/>
      <c r="K48" s="21"/>
      <c r="L48" s="22" t="str">
        <f aca="false">IF(AND(B48&lt;&gt;"",J48&lt;&gt;""),J48-B48,"")</f>
        <v/>
      </c>
      <c r="M48" s="21"/>
      <c r="N48" s="21"/>
      <c r="O48" s="21"/>
      <c r="P48" s="23"/>
      <c r="Q48" s="23"/>
      <c r="R48" s="21"/>
      <c r="S48" s="25" t="str">
        <f aca="false">IF(AND(B48="",G48=""),"",IF(H48="","Pertinence à évaluer",IF(H48="Sans objet pour nous","Sans suite",IF(J48="","À diffuser",IF(I48="","Enseignement à rédiger",IF(H48="Utile à l’équipe","Exploité",IF(M48="","Impact à évaluer",IF(AND(M48&lt;&gt;"Aucun",N48=""),"Action à définir",IF(AND(N48&lt;&gt;"",Q48=""),IF(AND(P48&lt;&gt;"",P48&lt;$D$4),"Action en retard","Action en cours"),"Exploité")))))))))</f>
        <v/>
      </c>
    </row>
    <row r="49" customFormat="false" ht="21.75" hidden="false" customHeight="true" outlineLevel="0" collapsed="false">
      <c r="A49" s="20" t="n">
        <v>39</v>
      </c>
      <c r="B49" s="23"/>
      <c r="C49" s="29"/>
      <c r="D49" s="30" t="str">
        <f aca="false">IF($C49="","",IFERROR(INDEX(Planning!$B$11:$B$35,MATCH($C49,Planning!$A$11:$A$35,0))&amp;"","Source inconnue"))</f>
        <v/>
      </c>
      <c r="E49" s="30" t="str">
        <f aca="false">IF($C49="","",IFERROR(INDEX(Planning!$C$11:$C$35,MATCH($C49,Planning!$A$11:$A$35,0))&amp;"",""))</f>
        <v/>
      </c>
      <c r="F49" s="21"/>
      <c r="G49" s="21"/>
      <c r="H49" s="21"/>
      <c r="I49" s="21"/>
      <c r="J49" s="23"/>
      <c r="K49" s="21"/>
      <c r="L49" s="22" t="str">
        <f aca="false">IF(AND(B49&lt;&gt;"",J49&lt;&gt;""),J49-B49,"")</f>
        <v/>
      </c>
      <c r="M49" s="21"/>
      <c r="N49" s="21"/>
      <c r="O49" s="21"/>
      <c r="P49" s="23"/>
      <c r="Q49" s="23"/>
      <c r="R49" s="21"/>
      <c r="S49" s="25" t="str">
        <f aca="false">IF(AND(B49="",G49=""),"",IF(H49="","Pertinence à évaluer",IF(H49="Sans objet pour nous","Sans suite",IF(J49="","À diffuser",IF(I49="","Enseignement à rédiger",IF(H49="Utile à l’équipe","Exploité",IF(M49="","Impact à évaluer",IF(AND(M49&lt;&gt;"Aucun",N49=""),"Action à définir",IF(AND(N49&lt;&gt;"",Q49=""),IF(AND(P49&lt;&gt;"",P49&lt;$D$4),"Action en retard","Action en cours"),"Exploité")))))))))</f>
        <v/>
      </c>
    </row>
    <row r="50" customFormat="false" ht="21.75" hidden="false" customHeight="true" outlineLevel="0" collapsed="false">
      <c r="A50" s="20" t="n">
        <v>40</v>
      </c>
      <c r="B50" s="23"/>
      <c r="C50" s="29"/>
      <c r="D50" s="30" t="str">
        <f aca="false">IF($C50="","",IFERROR(INDEX(Planning!$B$11:$B$35,MATCH($C50,Planning!$A$11:$A$35,0))&amp;"","Source inconnue"))</f>
        <v/>
      </c>
      <c r="E50" s="30" t="str">
        <f aca="false">IF($C50="","",IFERROR(INDEX(Planning!$C$11:$C$35,MATCH($C50,Planning!$A$11:$A$35,0))&amp;"",""))</f>
        <v/>
      </c>
      <c r="F50" s="21"/>
      <c r="G50" s="21"/>
      <c r="H50" s="21"/>
      <c r="I50" s="21"/>
      <c r="J50" s="23"/>
      <c r="K50" s="21"/>
      <c r="L50" s="22" t="str">
        <f aca="false">IF(AND(B50&lt;&gt;"",J50&lt;&gt;""),J50-B50,"")</f>
        <v/>
      </c>
      <c r="M50" s="21"/>
      <c r="N50" s="21"/>
      <c r="O50" s="21"/>
      <c r="P50" s="23"/>
      <c r="Q50" s="23"/>
      <c r="R50" s="21"/>
      <c r="S50" s="25" t="str">
        <f aca="false">IF(AND(B50="",G50=""),"",IF(H50="","Pertinence à évaluer",IF(H50="Sans objet pour nous","Sans suite",IF(J50="","À diffuser",IF(I50="","Enseignement à rédiger",IF(H50="Utile à l’équipe","Exploité",IF(M50="","Impact à évaluer",IF(AND(M50&lt;&gt;"Aucun",N50=""),"Action à définir",IF(AND(N50&lt;&gt;"",Q50=""),IF(AND(P50&lt;&gt;"",P50&lt;$D$4),"Action en retard","Action en cours"),"Exploité")))))))))</f>
        <v/>
      </c>
    </row>
  </sheetData>
  <mergeCells count="14">
    <mergeCell ref="A4:C4"/>
    <mergeCell ref="F4:G4"/>
    <mergeCell ref="J4:P8"/>
    <mergeCell ref="A5:D5"/>
    <mergeCell ref="F5:G5"/>
    <mergeCell ref="A6:D6"/>
    <mergeCell ref="F6:G6"/>
    <mergeCell ref="A7:D7"/>
    <mergeCell ref="F7:G7"/>
    <mergeCell ref="F8:G8"/>
    <mergeCell ref="A9:F9"/>
    <mergeCell ref="G9:I9"/>
    <mergeCell ref="J9:L9"/>
    <mergeCell ref="M9:R9"/>
  </mergeCells>
  <conditionalFormatting sqref="S11:S50">
    <cfRule type="expression" priority="2" aboveAverage="0" equalAverage="0" bottom="0" percent="0" rank="0" text="" dxfId="0">
      <formula>$S11="Action en retard"</formula>
    </cfRule>
    <cfRule type="expression" priority="3" aboveAverage="0" equalAverage="0" bottom="0" percent="0" rank="0" text="" dxfId="0">
      <formula>$S11="Action à définir"</formula>
    </cfRule>
    <cfRule type="expression" priority="4" aboveAverage="0" equalAverage="0" bottom="0" percent="0" rank="0" text="" dxfId="0">
      <formula>$S11="À diffuser"</formula>
    </cfRule>
    <cfRule type="expression" priority="5" aboveAverage="0" equalAverage="0" bottom="0" percent="0" rank="0" text="" dxfId="1">
      <formula>$S11="Enseignement à rédiger"</formula>
    </cfRule>
    <cfRule type="expression" priority="6" aboveAverage="0" equalAverage="0" bottom="0" percent="0" rank="0" text="" dxfId="1">
      <formula>$S11="Impact à évaluer"</formula>
    </cfRule>
    <cfRule type="expression" priority="7" aboveAverage="0" equalAverage="0" bottom="0" percent="0" rank="0" text="" dxfId="1">
      <formula>$S11="Pertinence à évaluer"</formula>
    </cfRule>
    <cfRule type="expression" priority="8" aboveAverage="0" equalAverage="0" bottom="0" percent="0" rank="0" text="" dxfId="3">
      <formula>$S11="Action en cours"</formula>
    </cfRule>
    <cfRule type="expression" priority="9" aboveAverage="0" equalAverage="0" bottom="0" percent="0" rank="0" text="" dxfId="2">
      <formula>$S11="Exploité"</formula>
    </cfRule>
    <cfRule type="expression" priority="10" aboveAverage="0" equalAverage="0" bottom="0" percent="0" rank="0" text="" dxfId="7">
      <formula>$S11="Sans suite"</formula>
    </cfRule>
  </conditionalFormatting>
  <conditionalFormatting sqref="H11:H50">
    <cfRule type="expression" priority="11" aboveAverage="0" equalAverage="0" bottom="0" percent="0" rank="0" text="" dxfId="3">
      <formula>$S11="Pertinence à évaluer"</formula>
    </cfRule>
  </conditionalFormatting>
  <conditionalFormatting sqref="J11:K50">
    <cfRule type="expression" priority="12" aboveAverage="0" equalAverage="0" bottom="0" percent="0" rank="0" text="" dxfId="4">
      <formula>$S11="À diffuser"</formula>
    </cfRule>
  </conditionalFormatting>
  <conditionalFormatting sqref="I11:I50">
    <cfRule type="expression" priority="13" aboveAverage="0" equalAverage="0" bottom="0" percent="0" rank="0" text="" dxfId="3">
      <formula>$S11="Enseignement à rédiger"</formula>
    </cfRule>
  </conditionalFormatting>
  <conditionalFormatting sqref="M11:M50">
    <cfRule type="expression" priority="14" aboveAverage="0" equalAverage="0" bottom="0" percent="0" rank="0" text="" dxfId="3">
      <formula>$S11="Impact à évaluer"</formula>
    </cfRule>
  </conditionalFormatting>
  <conditionalFormatting sqref="N11:N50">
    <cfRule type="expression" priority="15" aboveAverage="0" equalAverage="0" bottom="0" percent="0" rank="0" text="" dxfId="4">
      <formula>$S11="Action à définir"</formula>
    </cfRule>
  </conditionalFormatting>
  <conditionalFormatting sqref="P11:Q50">
    <cfRule type="expression" priority="16" aboveAverage="0" equalAverage="0" bottom="0" percent="0" rank="0" text="" dxfId="0">
      <formula>AND($P11&lt;&gt;"",$Q11="",$P11&lt;$D$4)</formula>
    </cfRule>
  </conditionalFormatting>
  <conditionalFormatting sqref="C11:C50">
    <cfRule type="expression" priority="17" aboveAverage="0" equalAverage="0" bottom="0" percent="0" rank="0" text="" dxfId="4">
      <formula>OR($D11="Source inconnue",AND($G11&lt;&gt;"",$C11=""))</formula>
    </cfRule>
  </conditionalFormatting>
  <dataValidations count="4">
    <dataValidation allowBlank="true" errorStyle="stop" operator="between" prompt="N° de la source du planning" promptTitle="Choisir" showDropDown="false" showErrorMessage="false" showInputMessage="true" sqref="C11:C50" type="list">
      <formula1>Planning!$A$11:$A$35</formula1>
      <formula2>0</formula2>
    </dataValidation>
    <dataValidation allowBlank="true" errorStyle="stop" operator="between" showDropDown="false" showErrorMessage="false" showInputMessage="false" sqref="H11:H50" type="list">
      <formula1>Listes!$E$4:$E$6</formula1>
      <formula2>0</formula2>
    </dataValidation>
    <dataValidation allowBlank="true" errorStyle="stop" operator="between" showDropDown="false" showErrorMessage="false" showInputMessage="false" sqref="K11:K50" type="list">
      <formula1>Listes!$F$4:$F$9</formula1>
      <formula2>0</formula2>
    </dataValidation>
    <dataValidation allowBlank="true" errorStyle="stop" operator="between" showDropDown="false" showErrorMessage="false" showInputMessage="false" sqref="M11:M50" type="list">
      <formula1>Listes!$G$4:$G$9</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L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2"/>
    <col collapsed="false" customWidth="true" hidden="false" outlineLevel="0" max="5" min="3" style="0" width="11"/>
    <col collapsed="false" customWidth="true" hidden="false" outlineLevel="0" max="6" min="6" style="0" width="12"/>
    <col collapsed="false" customWidth="true" hidden="false" outlineLevel="0" max="11" min="7" style="0" width="11"/>
    <col collapsed="false" customWidth="true" hidden="false" outlineLevel="0" max="12" min="12" style="0" width="44"/>
  </cols>
  <sheetData>
    <row r="1" customFormat="false" ht="21.75" hidden="false" customHeight="true" outlineLevel="0" collapsed="false">
      <c r="A1" s="1" t="s">
        <v>120</v>
      </c>
      <c r="B1" s="2"/>
      <c r="C1" s="2"/>
      <c r="D1" s="2"/>
      <c r="E1" s="2"/>
      <c r="F1" s="2"/>
      <c r="G1" s="2"/>
      <c r="H1" s="2"/>
      <c r="I1" s="2"/>
      <c r="J1" s="2"/>
      <c r="K1" s="2"/>
      <c r="L1" s="2"/>
    </row>
    <row r="2" customFormat="false" ht="25.5" hidden="false" customHeight="true" outlineLevel="0" collapsed="false">
      <c r="A2" s="3" t="s">
        <v>121</v>
      </c>
    </row>
    <row r="3" customFormat="false" ht="15" hidden="false" customHeight="false" outlineLevel="0" collapsed="false">
      <c r="A3" s="10" t="s">
        <v>122</v>
      </c>
    </row>
    <row r="4" customFormat="false" ht="15" hidden="false" customHeight="false" outlineLevel="0" collapsed="false">
      <c r="B4" s="11" t="s">
        <v>123</v>
      </c>
      <c r="C4" s="26" t="n">
        <f aca="false">Planning!$D$4</f>
        <v>46317</v>
      </c>
      <c r="D4" s="26"/>
      <c r="E4" s="26"/>
    </row>
    <row r="6" customFormat="false" ht="19.5" hidden="false" customHeight="true" outlineLevel="0" collapsed="false">
      <c r="B6" s="16" t="s">
        <v>124</v>
      </c>
      <c r="C6" s="16"/>
      <c r="D6" s="16"/>
      <c r="E6" s="16"/>
      <c r="F6" s="16"/>
      <c r="G6" s="16"/>
      <c r="H6" s="16"/>
      <c r="I6" s="16"/>
      <c r="J6" s="16"/>
      <c r="K6" s="16"/>
      <c r="L6" s="16"/>
    </row>
    <row r="7" customFormat="false" ht="39.75" hidden="false" customHeight="true" outlineLevel="0" collapsed="false">
      <c r="B7" s="18" t="s">
        <v>45</v>
      </c>
      <c r="C7" s="18" t="s">
        <v>32</v>
      </c>
      <c r="D7" s="18" t="s">
        <v>35</v>
      </c>
      <c r="E7" s="18" t="s">
        <v>89</v>
      </c>
      <c r="F7" s="18" t="s">
        <v>53</v>
      </c>
      <c r="G7" s="18" t="s">
        <v>125</v>
      </c>
      <c r="H7" s="18" t="s">
        <v>126</v>
      </c>
      <c r="I7" s="18" t="s">
        <v>127</v>
      </c>
      <c r="J7" s="18" t="s">
        <v>128</v>
      </c>
      <c r="K7" s="18" t="s">
        <v>129</v>
      </c>
      <c r="L7" s="18" t="s">
        <v>130</v>
      </c>
    </row>
    <row r="8" customFormat="false" ht="33.75" hidden="false" customHeight="true" outlineLevel="0" collapsed="false">
      <c r="B8" s="11" t="str">
        <f aca="false">Listes!$A$4</f>
        <v>Légale et réglementaire (indicateur 23)</v>
      </c>
      <c r="C8" s="31" t="n">
        <f aca="false">COUNTIFS(Planning!$B$11:$B$35,$B8,Planning!$C$11:$C$35,"&lt;&gt;")</f>
        <v>4</v>
      </c>
      <c r="D8" s="25" t="n">
        <f aca="false">COUNTIFS(Planning!$B$11:$B$35,$B8,Planning!$L$11:$L$35,"En retard")</f>
        <v>0</v>
      </c>
      <c r="E8" s="31" t="n">
        <f aca="false">COUNTIFS(Registre!$D$11:$D$50,$B8,Registre!$B$11:$B$50,"&lt;&gt;")</f>
        <v>0</v>
      </c>
      <c r="F8" s="24" t="str">
        <f aca="false">IF(E8=0,"",SUMPRODUCT(MAX((Registre!$D$11:$D$50=$B8)*Registre!$B$11:$B$50)))</f>
        <v/>
      </c>
      <c r="G8" s="31" t="n">
        <f aca="false">COUNTIFS(Registre!$D$11:$D$50,$B8,Registre!$S$11:$S$50,"Sans suite")</f>
        <v>0</v>
      </c>
      <c r="H8" s="31" t="n">
        <f aca="false">COUNTIFS(Registre!$D$11:$D$50,$B8,Registre!$J$11:$J$50,"&lt;&gt;")</f>
        <v>0</v>
      </c>
      <c r="I8" s="31" t="n">
        <f aca="false">COUNTIFS(Registre!$D$11:$D$50,$B8,Registre!$S$11:$S$50,"Exploité")</f>
        <v>0</v>
      </c>
      <c r="J8" s="31" t="n">
        <f aca="false">E8-G8-I8</f>
        <v>0</v>
      </c>
      <c r="K8" s="32" t="str">
        <f aca="false">IFERROR(I8/(E8-G8),"")</f>
        <v/>
      </c>
      <c r="L8" s="30" t="str">
        <f aca="false">IF(C8=0,"Aucune source définie.",IF(E8=0,"Aucun passage enregistré : la veille n’est pas démontrable.",IF(D8&gt;0,"Des sources sont en retard : à relancer.",IF(J8&gt;0,"Des passages restent à exploiter.","Veille à jour et exploitée."))))</f>
        <v>Aucun passage enregistré : la veille n’est pas démontrable.</v>
      </c>
    </row>
    <row r="9" customFormat="false" ht="33.75" hidden="false" customHeight="true" outlineLevel="0" collapsed="false">
      <c r="B9" s="11" t="str">
        <f aca="false">Listes!$A$5</f>
        <v>Métiers, compétences et emplois (indicateur 24)</v>
      </c>
      <c r="C9" s="31" t="n">
        <f aca="false">COUNTIFS(Planning!$B$11:$B$35,$B9,Planning!$C$11:$C$35,"&lt;&gt;")</f>
        <v>3</v>
      </c>
      <c r="D9" s="25" t="n">
        <f aca="false">COUNTIFS(Planning!$B$11:$B$35,$B9,Planning!$L$11:$L$35,"En retard")</f>
        <v>0</v>
      </c>
      <c r="E9" s="31" t="n">
        <f aca="false">COUNTIFS(Registre!$D$11:$D$50,$B9,Registre!$B$11:$B$50,"&lt;&gt;")</f>
        <v>0</v>
      </c>
      <c r="F9" s="24" t="str">
        <f aca="false">IF(E9=0,"",SUMPRODUCT(MAX((Registre!$D$11:$D$50=$B9)*Registre!$B$11:$B$50)))</f>
        <v/>
      </c>
      <c r="G9" s="31" t="n">
        <f aca="false">COUNTIFS(Registre!$D$11:$D$50,$B9,Registre!$S$11:$S$50,"Sans suite")</f>
        <v>0</v>
      </c>
      <c r="H9" s="31" t="n">
        <f aca="false">COUNTIFS(Registre!$D$11:$D$50,$B9,Registre!$J$11:$J$50,"&lt;&gt;")</f>
        <v>0</v>
      </c>
      <c r="I9" s="31" t="n">
        <f aca="false">COUNTIFS(Registre!$D$11:$D$50,$B9,Registre!$S$11:$S$50,"Exploité")</f>
        <v>0</v>
      </c>
      <c r="J9" s="31" t="n">
        <f aca="false">E9-G9-I9</f>
        <v>0</v>
      </c>
      <c r="K9" s="32" t="str">
        <f aca="false">IFERROR(I9/(E9-G9),"")</f>
        <v/>
      </c>
      <c r="L9" s="30" t="str">
        <f aca="false">IF(C9=0,"Aucune source définie.",IF(E9=0,"Aucun passage enregistré : la veille n’est pas démontrable.",IF(D9&gt;0,"Des sources sont en retard : à relancer.",IF(J9&gt;0,"Des passages restent à exploiter.","Veille à jour et exploitée."))))</f>
        <v>Aucun passage enregistré : la veille n’est pas démontrable.</v>
      </c>
    </row>
    <row r="10" customFormat="false" ht="33.75" hidden="false" customHeight="true" outlineLevel="0" collapsed="false">
      <c r="B10" s="11" t="str">
        <f aca="false">Listes!$A$6</f>
        <v>Innovations pédagogiques et technologiques (indicateur 25)</v>
      </c>
      <c r="C10" s="31" t="n">
        <f aca="false">COUNTIFS(Planning!$B$11:$B$35,$B10,Planning!$C$11:$C$35,"&lt;&gt;")</f>
        <v>3</v>
      </c>
      <c r="D10" s="25" t="n">
        <f aca="false">COUNTIFS(Planning!$B$11:$B$35,$B10,Planning!$L$11:$L$35,"En retard")</f>
        <v>0</v>
      </c>
      <c r="E10" s="31" t="n">
        <f aca="false">COUNTIFS(Registre!$D$11:$D$50,$B10,Registre!$B$11:$B$50,"&lt;&gt;")</f>
        <v>0</v>
      </c>
      <c r="F10" s="24" t="str">
        <f aca="false">IF(E10=0,"",SUMPRODUCT(MAX((Registre!$D$11:$D$50=$B10)*Registre!$B$11:$B$50)))</f>
        <v/>
      </c>
      <c r="G10" s="31" t="n">
        <f aca="false">COUNTIFS(Registre!$D$11:$D$50,$B10,Registre!$S$11:$S$50,"Sans suite")</f>
        <v>0</v>
      </c>
      <c r="H10" s="31" t="n">
        <f aca="false">COUNTIFS(Registre!$D$11:$D$50,$B10,Registre!$J$11:$J$50,"&lt;&gt;")</f>
        <v>0</v>
      </c>
      <c r="I10" s="31" t="n">
        <f aca="false">COUNTIFS(Registre!$D$11:$D$50,$B10,Registre!$S$11:$S$50,"Exploité")</f>
        <v>0</v>
      </c>
      <c r="J10" s="31" t="n">
        <f aca="false">E10-G10-I10</f>
        <v>0</v>
      </c>
      <c r="K10" s="32" t="str">
        <f aca="false">IFERROR(I10/(E10-G10),"")</f>
        <v/>
      </c>
      <c r="L10" s="30" t="str">
        <f aca="false">IF(C10=0,"Aucune source définie.",IF(E10=0,"Aucun passage enregistré : la veille n’est pas démontrable.",IF(D10&gt;0,"Des sources sont en retard : à relancer.",IF(J10&gt;0,"Des passages restent à exploiter.","Veille à jour et exploitée."))))</f>
        <v>Aucun passage enregistré : la veille n’est pas démontrable.</v>
      </c>
    </row>
    <row r="11" customFormat="false" ht="21.75" hidden="false" customHeight="true" outlineLevel="0" collapsed="false">
      <c r="B11" s="11" t="s">
        <v>131</v>
      </c>
      <c r="C11" s="13" t="n">
        <f aca="false">SUM(C8:C10)</f>
        <v>10</v>
      </c>
      <c r="D11" s="13" t="n">
        <f aca="false">SUM(D8:D10)</f>
        <v>0</v>
      </c>
      <c r="E11" s="13" t="n">
        <f aca="false">SUM(E8:E10)</f>
        <v>0</v>
      </c>
      <c r="F11" s="26" t="str">
        <f aca="false">IF(E11=0,"",MAX(F8:F10))</f>
        <v/>
      </c>
      <c r="G11" s="13" t="n">
        <f aca="false">SUM(G8:G10)</f>
        <v>0</v>
      </c>
      <c r="H11" s="13" t="n">
        <f aca="false">SUM(H8:H10)</f>
        <v>0</v>
      </c>
      <c r="I11" s="13" t="n">
        <f aca="false">SUM(I8:I10)</f>
        <v>0</v>
      </c>
      <c r="J11" s="13" t="n">
        <f aca="false">SUM(J8:J10)</f>
        <v>0</v>
      </c>
      <c r="K11" s="32" t="str">
        <f aca="false">IFERROR(I11/(E11-G11),"")</f>
        <v/>
      </c>
      <c r="L11" s="30"/>
    </row>
    <row r="12" customFormat="false" ht="18" hidden="false" customHeight="true" outlineLevel="0" collapsed="false">
      <c r="B12" s="27" t="s">
        <v>132</v>
      </c>
      <c r="C12" s="27"/>
      <c r="D12" s="27"/>
      <c r="E12" s="27"/>
      <c r="F12" s="27"/>
      <c r="G12" s="27"/>
      <c r="H12" s="27"/>
      <c r="I12" s="27"/>
      <c r="J12" s="27"/>
      <c r="K12" s="27"/>
      <c r="L12" s="27"/>
    </row>
    <row r="14" customFormat="false" ht="19.5" hidden="false" customHeight="true" outlineLevel="0" collapsed="false">
      <c r="B14" s="16" t="s">
        <v>133</v>
      </c>
      <c r="C14" s="16"/>
      <c r="D14" s="16"/>
      <c r="E14" s="16"/>
      <c r="F14" s="16"/>
    </row>
    <row r="15" customFormat="false" ht="39.75" hidden="false" customHeight="true" outlineLevel="0" collapsed="false">
      <c r="B15" s="18" t="s">
        <v>134</v>
      </c>
      <c r="C15" s="18" t="s">
        <v>135</v>
      </c>
      <c r="D15" s="18" t="s">
        <v>136</v>
      </c>
      <c r="E15" s="18" t="s">
        <v>137</v>
      </c>
      <c r="F15" s="18" t="s">
        <v>138</v>
      </c>
    </row>
    <row r="16" customFormat="false" ht="19.5" hidden="false" customHeight="true" outlineLevel="0" collapsed="false">
      <c r="B16" s="33" t="str">
        <f aca="false">TEXT(MONTH(EDATE(Planning!$D$5,0)),"00")&amp;"/"&amp;YEAR(EDATE(Planning!$D$5,0))</f>
        <v>10/2026</v>
      </c>
      <c r="C16" s="34" t="n">
        <f aca="false">COUNTIFS(Registre!$D$11:$D$50,Listes!$A$4,Registre!$B$11:$B$50,"&gt;="&amp;EDATE(Planning!$D$5,0),Registre!$B$11:$B$50,"&lt;"&amp;EDATE(Planning!$D$5,1))</f>
        <v>0</v>
      </c>
      <c r="D16" s="34" t="n">
        <f aca="false">COUNTIFS(Registre!$D$11:$D$50,Listes!$A$5,Registre!$B$11:$B$50,"&gt;="&amp;EDATE(Planning!$D$5,0),Registre!$B$11:$B$50,"&lt;"&amp;EDATE(Planning!$D$5,1))</f>
        <v>0</v>
      </c>
      <c r="E16" s="34" t="n">
        <f aca="false">COUNTIFS(Registre!$D$11:$D$50,Listes!$A$6,Registre!$B$11:$B$50,"&gt;="&amp;EDATE(Planning!$D$5,0),Registre!$B$11:$B$50,"&lt;"&amp;EDATE(Planning!$D$5,1))</f>
        <v>0</v>
      </c>
      <c r="F16" s="35" t="n">
        <f aca="false">SUM(C16:E16)</f>
        <v>0</v>
      </c>
    </row>
    <row r="17" customFormat="false" ht="19.5" hidden="false" customHeight="true" outlineLevel="0" collapsed="false">
      <c r="B17" s="33" t="str">
        <f aca="false">TEXT(MONTH(EDATE(Planning!$D$5,1)),"00")&amp;"/"&amp;YEAR(EDATE(Planning!$D$5,1))</f>
        <v>11/2026</v>
      </c>
      <c r="C17" s="34" t="n">
        <f aca="false">COUNTIFS(Registre!$D$11:$D$50,Listes!$A$4,Registre!$B$11:$B$50,"&gt;="&amp;EDATE(Planning!$D$5,1),Registre!$B$11:$B$50,"&lt;"&amp;EDATE(Planning!$D$5,2))</f>
        <v>0</v>
      </c>
      <c r="D17" s="34" t="n">
        <f aca="false">COUNTIFS(Registre!$D$11:$D$50,Listes!$A$5,Registre!$B$11:$B$50,"&gt;="&amp;EDATE(Planning!$D$5,1),Registre!$B$11:$B$50,"&lt;"&amp;EDATE(Planning!$D$5,2))</f>
        <v>0</v>
      </c>
      <c r="E17" s="34" t="n">
        <f aca="false">COUNTIFS(Registre!$D$11:$D$50,Listes!$A$6,Registre!$B$11:$B$50,"&gt;="&amp;EDATE(Planning!$D$5,1),Registre!$B$11:$B$50,"&lt;"&amp;EDATE(Planning!$D$5,2))</f>
        <v>0</v>
      </c>
      <c r="F17" s="35" t="n">
        <f aca="false">SUM(C17:E17)</f>
        <v>0</v>
      </c>
    </row>
    <row r="18" customFormat="false" ht="19.5" hidden="false" customHeight="true" outlineLevel="0" collapsed="false">
      <c r="B18" s="33" t="str">
        <f aca="false">TEXT(MONTH(EDATE(Planning!$D$5,2)),"00")&amp;"/"&amp;YEAR(EDATE(Planning!$D$5,2))</f>
        <v>12/2026</v>
      </c>
      <c r="C18" s="34" t="n">
        <f aca="false">COUNTIFS(Registre!$D$11:$D$50,Listes!$A$4,Registre!$B$11:$B$50,"&gt;="&amp;EDATE(Planning!$D$5,2),Registre!$B$11:$B$50,"&lt;"&amp;EDATE(Planning!$D$5,3))</f>
        <v>0</v>
      </c>
      <c r="D18" s="34" t="n">
        <f aca="false">COUNTIFS(Registre!$D$11:$D$50,Listes!$A$5,Registre!$B$11:$B$50,"&gt;="&amp;EDATE(Planning!$D$5,2),Registre!$B$11:$B$50,"&lt;"&amp;EDATE(Planning!$D$5,3))</f>
        <v>0</v>
      </c>
      <c r="E18" s="34" t="n">
        <f aca="false">COUNTIFS(Registre!$D$11:$D$50,Listes!$A$6,Registre!$B$11:$B$50,"&gt;="&amp;EDATE(Planning!$D$5,2),Registre!$B$11:$B$50,"&lt;"&amp;EDATE(Planning!$D$5,3))</f>
        <v>0</v>
      </c>
      <c r="F18" s="35" t="n">
        <f aca="false">SUM(C18:E18)</f>
        <v>0</v>
      </c>
    </row>
    <row r="19" customFormat="false" ht="19.5" hidden="false" customHeight="true" outlineLevel="0" collapsed="false">
      <c r="B19" s="33" t="str">
        <f aca="false">TEXT(MONTH(EDATE(Planning!$D$5,3)),"00")&amp;"/"&amp;YEAR(EDATE(Planning!$D$5,3))</f>
        <v>01/2027</v>
      </c>
      <c r="C19" s="34" t="n">
        <f aca="false">COUNTIFS(Registre!$D$11:$D$50,Listes!$A$4,Registre!$B$11:$B$50,"&gt;="&amp;EDATE(Planning!$D$5,3),Registre!$B$11:$B$50,"&lt;"&amp;EDATE(Planning!$D$5,4))</f>
        <v>0</v>
      </c>
      <c r="D19" s="34" t="n">
        <f aca="false">COUNTIFS(Registre!$D$11:$D$50,Listes!$A$5,Registre!$B$11:$B$50,"&gt;="&amp;EDATE(Planning!$D$5,3),Registre!$B$11:$B$50,"&lt;"&amp;EDATE(Planning!$D$5,4))</f>
        <v>0</v>
      </c>
      <c r="E19" s="34" t="n">
        <f aca="false">COUNTIFS(Registre!$D$11:$D$50,Listes!$A$6,Registre!$B$11:$B$50,"&gt;="&amp;EDATE(Planning!$D$5,3),Registre!$B$11:$B$50,"&lt;"&amp;EDATE(Planning!$D$5,4))</f>
        <v>0</v>
      </c>
      <c r="F19" s="35" t="n">
        <f aca="false">SUM(C19:E19)</f>
        <v>0</v>
      </c>
    </row>
    <row r="20" customFormat="false" ht="19.5" hidden="false" customHeight="true" outlineLevel="0" collapsed="false">
      <c r="B20" s="33" t="str">
        <f aca="false">TEXT(MONTH(EDATE(Planning!$D$5,4)),"00")&amp;"/"&amp;YEAR(EDATE(Planning!$D$5,4))</f>
        <v>02/2027</v>
      </c>
      <c r="C20" s="34" t="n">
        <f aca="false">COUNTIFS(Registre!$D$11:$D$50,Listes!$A$4,Registre!$B$11:$B$50,"&gt;="&amp;EDATE(Planning!$D$5,4),Registre!$B$11:$B$50,"&lt;"&amp;EDATE(Planning!$D$5,5))</f>
        <v>0</v>
      </c>
      <c r="D20" s="34" t="n">
        <f aca="false">COUNTIFS(Registre!$D$11:$D$50,Listes!$A$5,Registre!$B$11:$B$50,"&gt;="&amp;EDATE(Planning!$D$5,4),Registre!$B$11:$B$50,"&lt;"&amp;EDATE(Planning!$D$5,5))</f>
        <v>0</v>
      </c>
      <c r="E20" s="34" t="n">
        <f aca="false">COUNTIFS(Registre!$D$11:$D$50,Listes!$A$6,Registre!$B$11:$B$50,"&gt;="&amp;EDATE(Planning!$D$5,4),Registre!$B$11:$B$50,"&lt;"&amp;EDATE(Planning!$D$5,5))</f>
        <v>0</v>
      </c>
      <c r="F20" s="35" t="n">
        <f aca="false">SUM(C20:E20)</f>
        <v>0</v>
      </c>
    </row>
    <row r="21" customFormat="false" ht="19.5" hidden="false" customHeight="true" outlineLevel="0" collapsed="false">
      <c r="B21" s="33" t="str">
        <f aca="false">TEXT(MONTH(EDATE(Planning!$D$5,5)),"00")&amp;"/"&amp;YEAR(EDATE(Planning!$D$5,5))</f>
        <v>03/2027</v>
      </c>
      <c r="C21" s="34" t="n">
        <f aca="false">COUNTIFS(Registre!$D$11:$D$50,Listes!$A$4,Registre!$B$11:$B$50,"&gt;="&amp;EDATE(Planning!$D$5,5),Registre!$B$11:$B$50,"&lt;"&amp;EDATE(Planning!$D$5,6))</f>
        <v>0</v>
      </c>
      <c r="D21" s="34" t="n">
        <f aca="false">COUNTIFS(Registre!$D$11:$D$50,Listes!$A$5,Registre!$B$11:$B$50,"&gt;="&amp;EDATE(Planning!$D$5,5),Registre!$B$11:$B$50,"&lt;"&amp;EDATE(Planning!$D$5,6))</f>
        <v>0</v>
      </c>
      <c r="E21" s="34" t="n">
        <f aca="false">COUNTIFS(Registre!$D$11:$D$50,Listes!$A$6,Registre!$B$11:$B$50,"&gt;="&amp;EDATE(Planning!$D$5,5),Registre!$B$11:$B$50,"&lt;"&amp;EDATE(Planning!$D$5,6))</f>
        <v>0</v>
      </c>
      <c r="F21" s="35" t="n">
        <f aca="false">SUM(C21:E21)</f>
        <v>0</v>
      </c>
    </row>
    <row r="22" customFormat="false" ht="19.5" hidden="false" customHeight="true" outlineLevel="0" collapsed="false">
      <c r="B22" s="33" t="str">
        <f aca="false">TEXT(MONTH(EDATE(Planning!$D$5,6)),"00")&amp;"/"&amp;YEAR(EDATE(Planning!$D$5,6))</f>
        <v>04/2027</v>
      </c>
      <c r="C22" s="34" t="n">
        <f aca="false">COUNTIFS(Registre!$D$11:$D$50,Listes!$A$4,Registre!$B$11:$B$50,"&gt;="&amp;EDATE(Planning!$D$5,6),Registre!$B$11:$B$50,"&lt;"&amp;EDATE(Planning!$D$5,7))</f>
        <v>0</v>
      </c>
      <c r="D22" s="34" t="n">
        <f aca="false">COUNTIFS(Registre!$D$11:$D$50,Listes!$A$5,Registre!$B$11:$B$50,"&gt;="&amp;EDATE(Planning!$D$5,6),Registre!$B$11:$B$50,"&lt;"&amp;EDATE(Planning!$D$5,7))</f>
        <v>0</v>
      </c>
      <c r="E22" s="34" t="n">
        <f aca="false">COUNTIFS(Registre!$D$11:$D$50,Listes!$A$6,Registre!$B$11:$B$50,"&gt;="&amp;EDATE(Planning!$D$5,6),Registre!$B$11:$B$50,"&lt;"&amp;EDATE(Planning!$D$5,7))</f>
        <v>0</v>
      </c>
      <c r="F22" s="35" t="n">
        <f aca="false">SUM(C22:E22)</f>
        <v>0</v>
      </c>
    </row>
    <row r="23" customFormat="false" ht="19.5" hidden="false" customHeight="true" outlineLevel="0" collapsed="false">
      <c r="B23" s="33" t="str">
        <f aca="false">TEXT(MONTH(EDATE(Planning!$D$5,7)),"00")&amp;"/"&amp;YEAR(EDATE(Planning!$D$5,7))</f>
        <v>05/2027</v>
      </c>
      <c r="C23" s="34" t="n">
        <f aca="false">COUNTIFS(Registre!$D$11:$D$50,Listes!$A$4,Registre!$B$11:$B$50,"&gt;="&amp;EDATE(Planning!$D$5,7),Registre!$B$11:$B$50,"&lt;"&amp;EDATE(Planning!$D$5,8))</f>
        <v>0</v>
      </c>
      <c r="D23" s="34" t="n">
        <f aca="false">COUNTIFS(Registre!$D$11:$D$50,Listes!$A$5,Registre!$B$11:$B$50,"&gt;="&amp;EDATE(Planning!$D$5,7),Registre!$B$11:$B$50,"&lt;"&amp;EDATE(Planning!$D$5,8))</f>
        <v>0</v>
      </c>
      <c r="E23" s="34" t="n">
        <f aca="false">COUNTIFS(Registre!$D$11:$D$50,Listes!$A$6,Registre!$B$11:$B$50,"&gt;="&amp;EDATE(Planning!$D$5,7),Registre!$B$11:$B$50,"&lt;"&amp;EDATE(Planning!$D$5,8))</f>
        <v>0</v>
      </c>
      <c r="F23" s="35" t="n">
        <f aca="false">SUM(C23:E23)</f>
        <v>0</v>
      </c>
    </row>
    <row r="24" customFormat="false" ht="19.5" hidden="false" customHeight="true" outlineLevel="0" collapsed="false">
      <c r="B24" s="33" t="str">
        <f aca="false">TEXT(MONTH(EDATE(Planning!$D$5,8)),"00")&amp;"/"&amp;YEAR(EDATE(Planning!$D$5,8))</f>
        <v>06/2027</v>
      </c>
      <c r="C24" s="34" t="n">
        <f aca="false">COUNTIFS(Registre!$D$11:$D$50,Listes!$A$4,Registre!$B$11:$B$50,"&gt;="&amp;EDATE(Planning!$D$5,8),Registre!$B$11:$B$50,"&lt;"&amp;EDATE(Planning!$D$5,9))</f>
        <v>0</v>
      </c>
      <c r="D24" s="34" t="n">
        <f aca="false">COUNTIFS(Registre!$D$11:$D$50,Listes!$A$5,Registre!$B$11:$B$50,"&gt;="&amp;EDATE(Planning!$D$5,8),Registre!$B$11:$B$50,"&lt;"&amp;EDATE(Planning!$D$5,9))</f>
        <v>0</v>
      </c>
      <c r="E24" s="34" t="n">
        <f aca="false">COUNTIFS(Registre!$D$11:$D$50,Listes!$A$6,Registre!$B$11:$B$50,"&gt;="&amp;EDATE(Planning!$D$5,8),Registre!$B$11:$B$50,"&lt;"&amp;EDATE(Planning!$D$5,9))</f>
        <v>0</v>
      </c>
      <c r="F24" s="35" t="n">
        <f aca="false">SUM(C24:E24)</f>
        <v>0</v>
      </c>
    </row>
    <row r="25" customFormat="false" ht="19.5" hidden="false" customHeight="true" outlineLevel="0" collapsed="false">
      <c r="B25" s="33" t="str">
        <f aca="false">TEXT(MONTH(EDATE(Planning!$D$5,9)),"00")&amp;"/"&amp;YEAR(EDATE(Planning!$D$5,9))</f>
        <v>07/2027</v>
      </c>
      <c r="C25" s="34" t="n">
        <f aca="false">COUNTIFS(Registre!$D$11:$D$50,Listes!$A$4,Registre!$B$11:$B$50,"&gt;="&amp;EDATE(Planning!$D$5,9),Registre!$B$11:$B$50,"&lt;"&amp;EDATE(Planning!$D$5,10))</f>
        <v>0</v>
      </c>
      <c r="D25" s="34" t="n">
        <f aca="false">COUNTIFS(Registre!$D$11:$D$50,Listes!$A$5,Registre!$B$11:$B$50,"&gt;="&amp;EDATE(Planning!$D$5,9),Registre!$B$11:$B$50,"&lt;"&amp;EDATE(Planning!$D$5,10))</f>
        <v>0</v>
      </c>
      <c r="E25" s="34" t="n">
        <f aca="false">COUNTIFS(Registre!$D$11:$D$50,Listes!$A$6,Registre!$B$11:$B$50,"&gt;="&amp;EDATE(Planning!$D$5,9),Registre!$B$11:$B$50,"&lt;"&amp;EDATE(Planning!$D$5,10))</f>
        <v>0</v>
      </c>
      <c r="F25" s="35" t="n">
        <f aca="false">SUM(C25:E25)</f>
        <v>0</v>
      </c>
    </row>
    <row r="26" customFormat="false" ht="19.5" hidden="false" customHeight="true" outlineLevel="0" collapsed="false">
      <c r="B26" s="33" t="str">
        <f aca="false">TEXT(MONTH(EDATE(Planning!$D$5,10)),"00")&amp;"/"&amp;YEAR(EDATE(Planning!$D$5,10))</f>
        <v>08/2027</v>
      </c>
      <c r="C26" s="34" t="n">
        <f aca="false">COUNTIFS(Registre!$D$11:$D$50,Listes!$A$4,Registre!$B$11:$B$50,"&gt;="&amp;EDATE(Planning!$D$5,10),Registre!$B$11:$B$50,"&lt;"&amp;EDATE(Planning!$D$5,11))</f>
        <v>0</v>
      </c>
      <c r="D26" s="34" t="n">
        <f aca="false">COUNTIFS(Registre!$D$11:$D$50,Listes!$A$5,Registre!$B$11:$B$50,"&gt;="&amp;EDATE(Planning!$D$5,10),Registre!$B$11:$B$50,"&lt;"&amp;EDATE(Planning!$D$5,11))</f>
        <v>0</v>
      </c>
      <c r="E26" s="34" t="n">
        <f aca="false">COUNTIFS(Registre!$D$11:$D$50,Listes!$A$6,Registre!$B$11:$B$50,"&gt;="&amp;EDATE(Planning!$D$5,10),Registre!$B$11:$B$50,"&lt;"&amp;EDATE(Planning!$D$5,11))</f>
        <v>0</v>
      </c>
      <c r="F26" s="35" t="n">
        <f aca="false">SUM(C26:E26)</f>
        <v>0</v>
      </c>
    </row>
    <row r="27" customFormat="false" ht="19.5" hidden="false" customHeight="true" outlineLevel="0" collapsed="false">
      <c r="B27" s="33" t="str">
        <f aca="false">TEXT(MONTH(EDATE(Planning!$D$5,11)),"00")&amp;"/"&amp;YEAR(EDATE(Planning!$D$5,11))</f>
        <v>09/2027</v>
      </c>
      <c r="C27" s="34" t="n">
        <f aca="false">COUNTIFS(Registre!$D$11:$D$50,Listes!$A$4,Registre!$B$11:$B$50,"&gt;="&amp;EDATE(Planning!$D$5,11),Registre!$B$11:$B$50,"&lt;"&amp;EDATE(Planning!$D$5,12))</f>
        <v>0</v>
      </c>
      <c r="D27" s="34" t="n">
        <f aca="false">COUNTIFS(Registre!$D$11:$D$50,Listes!$A$5,Registre!$B$11:$B$50,"&gt;="&amp;EDATE(Planning!$D$5,11),Registre!$B$11:$B$50,"&lt;"&amp;EDATE(Planning!$D$5,12))</f>
        <v>0</v>
      </c>
      <c r="E27" s="34" t="n">
        <f aca="false">COUNTIFS(Registre!$D$11:$D$50,Listes!$A$6,Registre!$B$11:$B$50,"&gt;="&amp;EDATE(Planning!$D$5,11),Registre!$B$11:$B$50,"&lt;"&amp;EDATE(Planning!$D$5,12))</f>
        <v>0</v>
      </c>
      <c r="F27" s="35" t="n">
        <f aca="false">SUM(C27:E27)</f>
        <v>0</v>
      </c>
    </row>
    <row r="28" customFormat="false" ht="21.75" hidden="false" customHeight="true" outlineLevel="0" collapsed="false">
      <c r="B28" s="33" t="s">
        <v>138</v>
      </c>
      <c r="C28" s="13" t="n">
        <f aca="false">SUM(C16:C27)</f>
        <v>0</v>
      </c>
      <c r="D28" s="13" t="n">
        <f aca="false">SUM(D16:D27)</f>
        <v>0</v>
      </c>
      <c r="E28" s="13" t="n">
        <f aca="false">SUM(E16:E27)</f>
        <v>0</v>
      </c>
      <c r="F28" s="13" t="n">
        <f aca="false">SUM(F16:F27)</f>
        <v>0</v>
      </c>
    </row>
    <row r="30" customFormat="false" ht="19.5" hidden="false" customHeight="true" outlineLevel="0" collapsed="false">
      <c r="B30" s="16" t="s">
        <v>139</v>
      </c>
      <c r="C30" s="16"/>
      <c r="D30" s="16"/>
      <c r="E30" s="16"/>
      <c r="F30" s="16"/>
      <c r="G30" s="16"/>
      <c r="H30" s="16"/>
      <c r="I30" s="16"/>
      <c r="J30" s="16"/>
      <c r="K30" s="16"/>
      <c r="L30" s="16"/>
    </row>
    <row r="31" customFormat="false" ht="21.75" hidden="false" customHeight="true" outlineLevel="0" collapsed="false">
      <c r="B31" s="18" t="s">
        <v>140</v>
      </c>
      <c r="C31" s="18"/>
      <c r="D31" s="18"/>
      <c r="E31" s="18"/>
      <c r="F31" s="18" t="s">
        <v>141</v>
      </c>
      <c r="G31" s="18" t="s">
        <v>142</v>
      </c>
      <c r="H31" s="18"/>
      <c r="I31" s="18"/>
      <c r="J31" s="18"/>
      <c r="K31" s="18"/>
      <c r="L31" s="18"/>
    </row>
    <row r="32" customFormat="false" ht="18" hidden="false" customHeight="true" outlineLevel="0" collapsed="false">
      <c r="B32" s="11" t="s">
        <v>143</v>
      </c>
      <c r="C32" s="11"/>
      <c r="D32" s="11"/>
      <c r="E32" s="11"/>
      <c r="F32" s="13" t="n">
        <f aca="false">SUMPRODUCT((Planning!$C$11:$C$35&lt;&gt;"")*(Planning!$H$11:$H$35=""))</f>
        <v>10</v>
      </c>
      <c r="G32" s="36" t="s">
        <v>144</v>
      </c>
      <c r="H32" s="36"/>
      <c r="I32" s="36"/>
      <c r="J32" s="36"/>
      <c r="K32" s="36"/>
      <c r="L32" s="36"/>
    </row>
    <row r="33" customFormat="false" ht="18" hidden="false" customHeight="true" outlineLevel="0" collapsed="false">
      <c r="B33" s="11" t="s">
        <v>145</v>
      </c>
      <c r="C33" s="11"/>
      <c r="D33" s="11"/>
      <c r="E33" s="11"/>
      <c r="F33" s="13" t="n">
        <f aca="false">SUMPRODUCT((Planning!$C$11:$C$35&lt;&gt;"")*(Planning!$F$11:$F$35=""))</f>
        <v>10</v>
      </c>
      <c r="G33" s="36" t="s">
        <v>146</v>
      </c>
      <c r="H33" s="36"/>
      <c r="I33" s="36"/>
      <c r="J33" s="36"/>
      <c r="K33" s="36"/>
      <c r="L33" s="36"/>
    </row>
    <row r="34" customFormat="false" ht="18" hidden="false" customHeight="true" outlineLevel="0" collapsed="false">
      <c r="B34" s="11" t="s">
        <v>38</v>
      </c>
      <c r="C34" s="11"/>
      <c r="D34" s="11"/>
      <c r="E34" s="11"/>
      <c r="F34" s="13" t="n">
        <f aca="false">SUMPRODUCT((Planning!$C$11:$C$35&lt;&gt;"")*(Planning!$J$11:$J$35=""))</f>
        <v>10</v>
      </c>
      <c r="G34" s="36" t="s">
        <v>147</v>
      </c>
      <c r="H34" s="36"/>
      <c r="I34" s="36"/>
      <c r="J34" s="36"/>
      <c r="K34" s="36"/>
      <c r="L34" s="36"/>
    </row>
    <row r="35" customFormat="false" ht="18" hidden="false" customHeight="true" outlineLevel="0" collapsed="false">
      <c r="B35" s="11" t="s">
        <v>35</v>
      </c>
      <c r="C35" s="11"/>
      <c r="D35" s="11"/>
      <c r="E35" s="11"/>
      <c r="F35" s="13" t="n">
        <f aca="false">COUNTIF(Planning!$L$11:$L$35,"En retard")</f>
        <v>0</v>
      </c>
      <c r="G35" s="36" t="s">
        <v>148</v>
      </c>
      <c r="H35" s="36"/>
      <c r="I35" s="36"/>
      <c r="J35" s="36"/>
      <c r="K35" s="36"/>
      <c r="L35" s="36"/>
    </row>
    <row r="36" customFormat="false" ht="18" hidden="false" customHeight="true" outlineLevel="0" collapsed="false">
      <c r="B36" s="11" t="s">
        <v>149</v>
      </c>
      <c r="C36" s="11"/>
      <c r="D36" s="11"/>
      <c r="E36" s="11"/>
      <c r="F36" s="13" t="n">
        <f aca="false">COUNTIF(Registre!$D$11:$D$50,"Source inconnue")</f>
        <v>0</v>
      </c>
      <c r="G36" s="36" t="s">
        <v>150</v>
      </c>
      <c r="H36" s="36"/>
      <c r="I36" s="36"/>
      <c r="J36" s="36"/>
      <c r="K36" s="36"/>
      <c r="L36" s="36"/>
    </row>
    <row r="37" customFormat="false" ht="18" hidden="false" customHeight="true" outlineLevel="0" collapsed="false">
      <c r="B37" s="11" t="s">
        <v>151</v>
      </c>
      <c r="C37" s="11"/>
      <c r="D37" s="11"/>
      <c r="E37" s="11"/>
      <c r="F37" s="13" t="n">
        <f aca="false">COUNTIF(Registre!$S$11:$S$50,"Pertinence à évaluer")</f>
        <v>0</v>
      </c>
      <c r="G37" s="36" t="s">
        <v>152</v>
      </c>
      <c r="H37" s="36"/>
      <c r="I37" s="36"/>
      <c r="J37" s="36"/>
      <c r="K37" s="36"/>
      <c r="L37" s="36"/>
    </row>
    <row r="38" customFormat="false" ht="18" hidden="false" customHeight="true" outlineLevel="0" collapsed="false">
      <c r="B38" s="11" t="s">
        <v>94</v>
      </c>
      <c r="C38" s="11"/>
      <c r="D38" s="11"/>
      <c r="E38" s="11"/>
      <c r="F38" s="13" t="n">
        <f aca="false">COUNTIF(Registre!$S$11:$S$50,"À diffuser")</f>
        <v>0</v>
      </c>
      <c r="G38" s="36" t="s">
        <v>153</v>
      </c>
      <c r="H38" s="36"/>
      <c r="I38" s="36"/>
      <c r="J38" s="36"/>
      <c r="K38" s="36"/>
      <c r="L38" s="36"/>
    </row>
    <row r="39" customFormat="false" ht="18" hidden="false" customHeight="true" outlineLevel="0" collapsed="false">
      <c r="B39" s="11" t="s">
        <v>154</v>
      </c>
      <c r="C39" s="11"/>
      <c r="D39" s="11"/>
      <c r="E39" s="11"/>
      <c r="F39" s="13" t="n">
        <f aca="false">COUNTIF(Registre!$S$11:$S$50,"Enseignement à rédiger")</f>
        <v>0</v>
      </c>
      <c r="G39" s="36" t="s">
        <v>155</v>
      </c>
      <c r="H39" s="36"/>
      <c r="I39" s="36"/>
      <c r="J39" s="36"/>
      <c r="K39" s="36"/>
      <c r="L39" s="36"/>
    </row>
    <row r="40" customFormat="false" ht="18" hidden="false" customHeight="true" outlineLevel="0" collapsed="false">
      <c r="B40" s="11" t="s">
        <v>156</v>
      </c>
      <c r="C40" s="11"/>
      <c r="D40" s="11"/>
      <c r="E40" s="11"/>
      <c r="F40" s="13" t="n">
        <f aca="false">COUNTIF(Registre!$S$11:$S$50,"Impact à évaluer")</f>
        <v>0</v>
      </c>
      <c r="G40" s="36" t="s">
        <v>157</v>
      </c>
      <c r="H40" s="36"/>
      <c r="I40" s="36"/>
      <c r="J40" s="36"/>
      <c r="K40" s="36"/>
      <c r="L40" s="36"/>
    </row>
    <row r="41" customFormat="false" ht="18" hidden="false" customHeight="true" outlineLevel="0" collapsed="false">
      <c r="B41" s="11" t="s">
        <v>158</v>
      </c>
      <c r="C41" s="11"/>
      <c r="D41" s="11"/>
      <c r="E41" s="11"/>
      <c r="F41" s="13" t="n">
        <f aca="false">COUNTIF(Registre!$S$11:$S$50,"Action à définir")</f>
        <v>0</v>
      </c>
      <c r="G41" s="36" t="s">
        <v>159</v>
      </c>
      <c r="H41" s="36"/>
      <c r="I41" s="36"/>
      <c r="J41" s="36"/>
      <c r="K41" s="36"/>
      <c r="L41" s="36"/>
    </row>
    <row r="42" customFormat="false" ht="18" hidden="false" customHeight="true" outlineLevel="0" collapsed="false">
      <c r="B42" s="11" t="s">
        <v>96</v>
      </c>
      <c r="C42" s="11"/>
      <c r="D42" s="11"/>
      <c r="E42" s="11"/>
      <c r="F42" s="13" t="n">
        <f aca="false">COUNTIF(Registre!$S$11:$S$50,"Action en retard")</f>
        <v>0</v>
      </c>
      <c r="G42" s="36" t="s">
        <v>160</v>
      </c>
      <c r="H42" s="36"/>
      <c r="I42" s="36"/>
      <c r="J42" s="36"/>
      <c r="K42" s="36"/>
      <c r="L42" s="36"/>
    </row>
    <row r="44" customFormat="false" ht="19.5" hidden="false" customHeight="true" outlineLevel="0" collapsed="false">
      <c r="B44" s="17" t="s">
        <v>161</v>
      </c>
      <c r="C44" s="17"/>
      <c r="D44" s="17"/>
      <c r="E44" s="17"/>
      <c r="F44" s="17"/>
      <c r="G44" s="17"/>
      <c r="H44" s="17"/>
      <c r="I44" s="17"/>
      <c r="J44" s="17"/>
      <c r="K44" s="17"/>
      <c r="L44" s="17"/>
    </row>
    <row r="45" customFormat="false" ht="37.5" hidden="false" customHeight="true" outlineLevel="0" collapsed="false">
      <c r="B45" s="18" t="s">
        <v>162</v>
      </c>
      <c r="C45" s="18" t="s">
        <v>163</v>
      </c>
      <c r="D45" s="18" t="s">
        <v>164</v>
      </c>
      <c r="E45" s="18" t="s">
        <v>165</v>
      </c>
      <c r="F45" s="18" t="s">
        <v>166</v>
      </c>
      <c r="G45" s="18"/>
      <c r="H45" s="18"/>
      <c r="I45" s="18" t="s">
        <v>55</v>
      </c>
      <c r="J45" s="18"/>
      <c r="K45" s="18" t="s">
        <v>167</v>
      </c>
      <c r="L45" s="18"/>
    </row>
    <row r="46" customFormat="false" ht="25.5" hidden="false" customHeight="true" outlineLevel="0" collapsed="false">
      <c r="B46" s="23"/>
      <c r="C46" s="23"/>
      <c r="D46" s="23"/>
      <c r="E46" s="23"/>
      <c r="F46" s="21"/>
      <c r="G46" s="21"/>
      <c r="H46" s="21"/>
      <c r="I46" s="37" t="str">
        <f aca="false">IF(B46="","",IF(E46&lt;&gt;"","Déposé",IF(B46&gt;Planning!$D$4,"Exercice en cours",IF(D46="","Date limite à renseigner",IF(D46&lt;Planning!$D$4,"En retard","À déposer")))))</f>
        <v/>
      </c>
      <c r="J46" s="37"/>
      <c r="K46" s="21"/>
      <c r="L46" s="21"/>
    </row>
    <row r="47" customFormat="false" ht="25.5" hidden="false" customHeight="true" outlineLevel="0" collapsed="false">
      <c r="B47" s="23"/>
      <c r="C47" s="23"/>
      <c r="D47" s="23"/>
      <c r="E47" s="23"/>
      <c r="F47" s="21"/>
      <c r="G47" s="21"/>
      <c r="H47" s="21"/>
      <c r="I47" s="37" t="str">
        <f aca="false">IF(B47="","",IF(E47&lt;&gt;"","Déposé",IF(B47&gt;Planning!$D$4,"Exercice en cours",IF(D47="","Date limite à renseigner",IF(D47&lt;Planning!$D$4,"En retard","À déposer")))))</f>
        <v/>
      </c>
      <c r="J47" s="37"/>
      <c r="K47" s="21"/>
      <c r="L47" s="21"/>
    </row>
    <row r="48" customFormat="false" ht="25.5" hidden="false" customHeight="true" outlineLevel="0" collapsed="false">
      <c r="B48" s="23"/>
      <c r="C48" s="23"/>
      <c r="D48" s="23"/>
      <c r="E48" s="23"/>
      <c r="F48" s="21"/>
      <c r="G48" s="21"/>
      <c r="H48" s="21"/>
      <c r="I48" s="37" t="str">
        <f aca="false">IF(B48="","",IF(E48&lt;&gt;"","Déposé",IF(B48&gt;Planning!$D$4,"Exercice en cours",IF(D48="","Date limite à renseigner",IF(D48&lt;Planning!$D$4,"En retard","À déposer")))))</f>
        <v/>
      </c>
      <c r="J48" s="37"/>
      <c r="K48" s="21"/>
      <c r="L48" s="21"/>
    </row>
    <row r="49" customFormat="false" ht="27.75" hidden="false" customHeight="true" outlineLevel="0" collapsed="false">
      <c r="B49" s="27" t="s">
        <v>168</v>
      </c>
      <c r="C49" s="27"/>
      <c r="D49" s="27"/>
      <c r="E49" s="27"/>
      <c r="F49" s="27"/>
      <c r="G49" s="27"/>
      <c r="H49" s="27"/>
      <c r="I49" s="27"/>
      <c r="J49" s="27"/>
      <c r="K49" s="27"/>
      <c r="L49" s="27"/>
    </row>
    <row r="51" customFormat="false" ht="19.5" hidden="false" customHeight="true" outlineLevel="0" collapsed="false">
      <c r="B51" s="17" t="s">
        <v>169</v>
      </c>
      <c r="C51" s="17"/>
      <c r="D51" s="17"/>
      <c r="E51" s="17"/>
      <c r="F51" s="17"/>
      <c r="G51" s="17"/>
      <c r="H51" s="17"/>
      <c r="I51" s="17"/>
      <c r="J51" s="17"/>
      <c r="K51" s="17"/>
      <c r="L51" s="17"/>
    </row>
    <row r="52" customFormat="false" ht="24" hidden="false" customHeight="true" outlineLevel="0" collapsed="false">
      <c r="B52" s="18" t="s">
        <v>170</v>
      </c>
      <c r="C52" s="18" t="s">
        <v>171</v>
      </c>
      <c r="D52" s="18"/>
      <c r="E52" s="18"/>
      <c r="F52" s="18"/>
      <c r="G52" s="18"/>
      <c r="H52" s="18" t="s">
        <v>172</v>
      </c>
      <c r="I52" s="18"/>
      <c r="J52" s="18"/>
      <c r="K52" s="18"/>
      <c r="L52" s="18" t="s">
        <v>173</v>
      </c>
    </row>
    <row r="53" customFormat="false" ht="61.5" hidden="false" customHeight="true" outlineLevel="0" collapsed="false">
      <c r="B53" s="11" t="s">
        <v>174</v>
      </c>
      <c r="C53" s="36" t="s">
        <v>175</v>
      </c>
      <c r="D53" s="36"/>
      <c r="E53" s="36"/>
      <c r="F53" s="36"/>
      <c r="G53" s="36"/>
      <c r="H53" s="36" t="s">
        <v>176</v>
      </c>
      <c r="I53" s="36"/>
      <c r="J53" s="36"/>
      <c r="K53" s="36"/>
      <c r="L53" s="36" t="s">
        <v>177</v>
      </c>
    </row>
    <row r="54" customFormat="false" ht="61.5" hidden="false" customHeight="true" outlineLevel="0" collapsed="false">
      <c r="B54" s="11" t="s">
        <v>178</v>
      </c>
      <c r="C54" s="36" t="s">
        <v>179</v>
      </c>
      <c r="D54" s="36"/>
      <c r="E54" s="36"/>
      <c r="F54" s="36"/>
      <c r="G54" s="36"/>
      <c r="H54" s="36" t="s">
        <v>180</v>
      </c>
      <c r="I54" s="36"/>
      <c r="J54" s="36"/>
      <c r="K54" s="36"/>
      <c r="L54" s="36" t="s">
        <v>181</v>
      </c>
    </row>
    <row r="55" customFormat="false" ht="61.5" hidden="false" customHeight="true" outlineLevel="0" collapsed="false">
      <c r="B55" s="11" t="s">
        <v>182</v>
      </c>
      <c r="C55" s="36" t="s">
        <v>183</v>
      </c>
      <c r="D55" s="36"/>
      <c r="E55" s="36"/>
      <c r="F55" s="36"/>
      <c r="G55" s="36"/>
      <c r="H55" s="36" t="s">
        <v>180</v>
      </c>
      <c r="I55" s="36"/>
      <c r="J55" s="36"/>
      <c r="K55" s="36"/>
      <c r="L55" s="36" t="s">
        <v>181</v>
      </c>
    </row>
    <row r="56" customFormat="false" ht="18" hidden="false" customHeight="true" outlineLevel="0" collapsed="false">
      <c r="B56" s="27" t="s">
        <v>184</v>
      </c>
      <c r="C56" s="27"/>
      <c r="D56" s="27"/>
      <c r="E56" s="27"/>
      <c r="F56" s="27"/>
      <c r="G56" s="27"/>
      <c r="H56" s="27"/>
      <c r="I56" s="27"/>
      <c r="J56" s="27"/>
      <c r="K56" s="27"/>
      <c r="L56" s="27"/>
    </row>
  </sheetData>
  <mergeCells count="53">
    <mergeCell ref="C4:E4"/>
    <mergeCell ref="B6:L6"/>
    <mergeCell ref="B12:L12"/>
    <mergeCell ref="B14:F14"/>
    <mergeCell ref="B30:L30"/>
    <mergeCell ref="B31:E31"/>
    <mergeCell ref="G31:L31"/>
    <mergeCell ref="B32:E32"/>
    <mergeCell ref="G32:L32"/>
    <mergeCell ref="B33:E33"/>
    <mergeCell ref="G33:L33"/>
    <mergeCell ref="B34:E34"/>
    <mergeCell ref="G34:L34"/>
    <mergeCell ref="B35:E35"/>
    <mergeCell ref="G35:L35"/>
    <mergeCell ref="B36:E36"/>
    <mergeCell ref="G36:L36"/>
    <mergeCell ref="B37:E37"/>
    <mergeCell ref="G37:L37"/>
    <mergeCell ref="B38:E38"/>
    <mergeCell ref="G38:L38"/>
    <mergeCell ref="B39:E39"/>
    <mergeCell ref="G39:L39"/>
    <mergeCell ref="B40:E40"/>
    <mergeCell ref="G40:L40"/>
    <mergeCell ref="B41:E41"/>
    <mergeCell ref="G41:L41"/>
    <mergeCell ref="B42:E42"/>
    <mergeCell ref="G42:L42"/>
    <mergeCell ref="B44:L44"/>
    <mergeCell ref="F45:H45"/>
    <mergeCell ref="I45:J45"/>
    <mergeCell ref="K45:L45"/>
    <mergeCell ref="F46:H46"/>
    <mergeCell ref="I46:J46"/>
    <mergeCell ref="K46:L46"/>
    <mergeCell ref="F47:H47"/>
    <mergeCell ref="I47:J47"/>
    <mergeCell ref="K47:L47"/>
    <mergeCell ref="F48:H48"/>
    <mergeCell ref="I48:J48"/>
    <mergeCell ref="K48:L48"/>
    <mergeCell ref="B49:L49"/>
    <mergeCell ref="B51:L51"/>
    <mergeCell ref="C52:G52"/>
    <mergeCell ref="H52:K52"/>
    <mergeCell ref="C53:G53"/>
    <mergeCell ref="H53:K53"/>
    <mergeCell ref="C54:G54"/>
    <mergeCell ref="H54:K54"/>
    <mergeCell ref="C55:G55"/>
    <mergeCell ref="H55:K55"/>
    <mergeCell ref="B56:L56"/>
  </mergeCells>
  <conditionalFormatting sqref="D8:D11">
    <cfRule type="expression" priority="2" aboveAverage="0" equalAverage="0" bottom="0" percent="0" rank="0" text="" dxfId="0">
      <formula>$D8&gt;0</formula>
    </cfRule>
  </conditionalFormatting>
  <conditionalFormatting sqref="J8:J11">
    <cfRule type="expression" priority="3" aboveAverage="0" equalAverage="0" bottom="0" percent="0" rank="0" text="" dxfId="1">
      <formula>$J8&gt;0</formula>
    </cfRule>
  </conditionalFormatting>
  <conditionalFormatting sqref="F32:F42">
    <cfRule type="expression" priority="4" aboveAverage="0" equalAverage="0" bottom="0" percent="0" rank="0" text="" dxfId="0">
      <formula>$F32&gt;0</formula>
    </cfRule>
  </conditionalFormatting>
  <conditionalFormatting sqref="I46:J48">
    <cfRule type="expression" priority="5" aboveAverage="0" equalAverage="0" bottom="0" percent="0" rank="0" text="" dxfId="2">
      <formula>$I46="Déposé"</formula>
    </cfRule>
    <cfRule type="expression" priority="6" aboveAverage="0" equalAverage="0" bottom="0" percent="0" rank="0" text="" dxfId="0">
      <formula>$I46="En retard"</formula>
    </cfRule>
    <cfRule type="expression" priority="7" aboveAverage="0" equalAverage="0" bottom="0" percent="0" rank="0" text="" dxfId="1">
      <formula>$I46="À déposer"</formula>
    </cfRule>
    <cfRule type="expression" priority="8" aboveAverage="0" equalAverage="0" bottom="0" percent="0" rank="0" text="" dxfId="1">
      <formula>$I46="Date limite à renseigner"</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29" man="true" max="16383" min="0"/>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X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34"/>
    <col collapsed="false" customWidth="true" hidden="false" outlineLevel="0" max="4" min="4" style="0" width="22"/>
    <col collapsed="false" customWidth="true" hidden="false" outlineLevel="0" max="5" min="5" style="0" width="30"/>
    <col collapsed="false" customWidth="true" hidden="false" outlineLevel="0" max="6" min="6" style="0" width="15"/>
    <col collapsed="false" customWidth="true" hidden="false" outlineLevel="0" max="7" min="7" style="0" width="9"/>
    <col collapsed="false" customWidth="true" hidden="false" outlineLevel="0" max="8" min="8" style="0" width="16"/>
    <col collapsed="false" customWidth="true" hidden="false" outlineLevel="0" max="11" min="9" style="0" width="12"/>
    <col collapsed="false" customWidth="true" hidden="false" outlineLevel="0" max="12" min="12" style="0" width="17"/>
    <col collapsed="false" customWidth="true" hidden="false" outlineLevel="0" max="24" min="13" style="0" width="8"/>
  </cols>
  <sheetData>
    <row r="1" customFormat="false" ht="21.75" hidden="false" customHeight="true" outlineLevel="0" collapsed="false">
      <c r="A1" s="1" t="s">
        <v>0</v>
      </c>
      <c r="B1" s="2"/>
      <c r="C1" s="2"/>
      <c r="D1" s="2"/>
      <c r="E1" s="2"/>
      <c r="F1" s="2"/>
      <c r="G1" s="2"/>
      <c r="H1" s="2"/>
      <c r="I1" s="2"/>
      <c r="J1" s="2"/>
      <c r="K1" s="2"/>
      <c r="L1" s="2"/>
      <c r="M1" s="2"/>
      <c r="N1" s="2"/>
      <c r="O1" s="2"/>
      <c r="P1" s="2"/>
      <c r="Q1" s="2"/>
      <c r="R1" s="2"/>
      <c r="S1" s="2"/>
      <c r="T1" s="2"/>
      <c r="U1" s="2"/>
      <c r="V1" s="2"/>
      <c r="W1" s="2"/>
      <c r="X1" s="2"/>
    </row>
    <row r="2" customFormat="false" ht="25.5" hidden="false" customHeight="true" outlineLevel="0" collapsed="false">
      <c r="A2" s="3" t="s">
        <v>185</v>
      </c>
    </row>
    <row r="3" customFormat="false" ht="15" hidden="false" customHeight="false" outlineLevel="0" collapsed="false">
      <c r="A3" s="10" t="s">
        <v>186</v>
      </c>
    </row>
    <row r="4" customFormat="false" ht="25.5" hidden="false" customHeight="true" outlineLevel="0" collapsed="false">
      <c r="A4" s="11" t="s">
        <v>31</v>
      </c>
      <c r="B4" s="11"/>
      <c r="C4" s="11"/>
      <c r="D4" s="12" t="n">
        <v>46317</v>
      </c>
      <c r="E4" s="11" t="s">
        <v>32</v>
      </c>
      <c r="F4" s="13" t="n">
        <f aca="false">COUNTA(C11:C25)</f>
        <v>12</v>
      </c>
      <c r="H4" s="14" t="s">
        <v>33</v>
      </c>
      <c r="I4" s="14"/>
      <c r="J4" s="14"/>
      <c r="K4" s="14"/>
      <c r="L4" s="14"/>
    </row>
    <row r="5" customFormat="false" ht="25.5" hidden="false" customHeight="true" outlineLevel="0" collapsed="false">
      <c r="A5" s="11" t="s">
        <v>34</v>
      </c>
      <c r="B5" s="11"/>
      <c r="C5" s="11"/>
      <c r="D5" s="12" t="n">
        <v>46082</v>
      </c>
      <c r="E5" s="11" t="s">
        <v>35</v>
      </c>
      <c r="F5" s="13" t="n">
        <f aca="false">COUNTIF(L11:L25,"En retard")</f>
        <v>2</v>
      </c>
      <c r="H5" s="14"/>
      <c r="I5" s="14"/>
      <c r="J5" s="14"/>
      <c r="K5" s="14"/>
      <c r="L5" s="14"/>
    </row>
    <row r="6" customFormat="false" ht="25.5" hidden="false" customHeight="true" outlineLevel="0" collapsed="false">
      <c r="A6" s="11" t="s">
        <v>187</v>
      </c>
      <c r="B6" s="11"/>
      <c r="C6" s="11"/>
      <c r="D6" s="15" t="n">
        <v>14</v>
      </c>
      <c r="E6" s="11" t="s">
        <v>37</v>
      </c>
      <c r="F6" s="13" t="n">
        <f aca="false">COUNTIF(L11:L25,"Passage proche")</f>
        <v>2</v>
      </c>
      <c r="H6" s="14"/>
      <c r="I6" s="14"/>
      <c r="J6" s="14"/>
      <c r="K6" s="14"/>
      <c r="L6" s="14"/>
    </row>
    <row r="7" customFormat="false" ht="25.5" hidden="false" customHeight="true" outlineLevel="0" collapsed="false">
      <c r="E7" s="11" t="s">
        <v>38</v>
      </c>
      <c r="F7" s="13" t="n">
        <f aca="false">SUMPRODUCT((C11:C25&lt;&gt;"")*(J11:J25=""))</f>
        <v>1</v>
      </c>
      <c r="H7" s="14"/>
      <c r="I7" s="14"/>
      <c r="J7" s="14"/>
      <c r="K7" s="14"/>
      <c r="L7" s="14"/>
    </row>
    <row r="8" customFormat="false" ht="25.5" hidden="false" customHeight="true" outlineLevel="0" collapsed="false">
      <c r="E8" s="11" t="s">
        <v>39</v>
      </c>
      <c r="F8" s="13" t="n">
        <f aca="false">COUNT('Exemple registre'!$B$11:$B$35)</f>
        <v>22</v>
      </c>
      <c r="H8" s="14"/>
      <c r="I8" s="14"/>
      <c r="J8" s="14"/>
      <c r="K8" s="14"/>
      <c r="L8" s="14"/>
    </row>
    <row r="9" customFormat="false" ht="19.5" hidden="false" customHeight="true" outlineLevel="0" collapsed="false">
      <c r="A9" s="16" t="s">
        <v>40</v>
      </c>
      <c r="B9" s="16"/>
      <c r="C9" s="16"/>
      <c r="D9" s="16"/>
      <c r="E9" s="16"/>
      <c r="F9" s="17" t="s">
        <v>41</v>
      </c>
      <c r="G9" s="17"/>
      <c r="H9" s="17"/>
      <c r="I9" s="17"/>
      <c r="J9" s="16" t="s">
        <v>42</v>
      </c>
      <c r="K9" s="16"/>
      <c r="L9" s="16"/>
      <c r="M9" s="17" t="s">
        <v>43</v>
      </c>
      <c r="N9" s="17"/>
      <c r="O9" s="17"/>
      <c r="P9" s="17"/>
      <c r="Q9" s="17"/>
      <c r="R9" s="17"/>
      <c r="S9" s="17"/>
      <c r="T9" s="17"/>
      <c r="U9" s="17"/>
      <c r="V9" s="17"/>
      <c r="W9" s="17"/>
      <c r="X9" s="17"/>
    </row>
    <row r="10" customFormat="false" ht="39.75" hidden="false" customHeight="true" outlineLevel="0" collapsed="false">
      <c r="A10" s="18" t="s">
        <v>44</v>
      </c>
      <c r="B10" s="18" t="s">
        <v>45</v>
      </c>
      <c r="C10" s="18" t="s">
        <v>46</v>
      </c>
      <c r="D10" s="18" t="s">
        <v>47</v>
      </c>
      <c r="E10" s="18" t="s">
        <v>48</v>
      </c>
      <c r="F10" s="18" t="s">
        <v>49</v>
      </c>
      <c r="G10" s="18" t="s">
        <v>50</v>
      </c>
      <c r="H10" s="18" t="s">
        <v>51</v>
      </c>
      <c r="I10" s="18" t="s">
        <v>52</v>
      </c>
      <c r="J10" s="18" t="s">
        <v>53</v>
      </c>
      <c r="K10" s="18" t="s">
        <v>54</v>
      </c>
      <c r="L10" s="18" t="s">
        <v>55</v>
      </c>
      <c r="M10" s="19" t="n">
        <f aca="false">EDATE($D$5,0)</f>
        <v>46082</v>
      </c>
      <c r="N10" s="19" t="n">
        <f aca="false">EDATE($D$5,1)</f>
        <v>46113</v>
      </c>
      <c r="O10" s="19" t="n">
        <f aca="false">EDATE($D$5,2)</f>
        <v>46143</v>
      </c>
      <c r="P10" s="19" t="n">
        <f aca="false">EDATE($D$5,3)</f>
        <v>46174</v>
      </c>
      <c r="Q10" s="19" t="n">
        <f aca="false">EDATE($D$5,4)</f>
        <v>46204</v>
      </c>
      <c r="R10" s="19" t="n">
        <f aca="false">EDATE($D$5,5)</f>
        <v>46235</v>
      </c>
      <c r="S10" s="19" t="n">
        <f aca="false">EDATE($D$5,6)</f>
        <v>46266</v>
      </c>
      <c r="T10" s="19" t="n">
        <f aca="false">EDATE($D$5,7)</f>
        <v>46296</v>
      </c>
      <c r="U10" s="19" t="n">
        <f aca="false">EDATE($D$5,8)</f>
        <v>46327</v>
      </c>
      <c r="V10" s="19" t="n">
        <f aca="false">EDATE($D$5,9)</f>
        <v>46357</v>
      </c>
      <c r="W10" s="19" t="n">
        <f aca="false">EDATE($D$5,10)</f>
        <v>46388</v>
      </c>
      <c r="X10" s="19" t="n">
        <f aca="false">EDATE($D$5,11)</f>
        <v>46419</v>
      </c>
    </row>
    <row r="11" customFormat="false" ht="57.75" hidden="false" customHeight="true" outlineLevel="0" collapsed="false">
      <c r="A11" s="20" t="n">
        <v>1</v>
      </c>
      <c r="B11" s="21" t="s">
        <v>56</v>
      </c>
      <c r="C11" s="21" t="s">
        <v>57</v>
      </c>
      <c r="D11" s="21" t="s">
        <v>58</v>
      </c>
      <c r="E11" s="21" t="s">
        <v>188</v>
      </c>
      <c r="F11" s="21" t="s">
        <v>189</v>
      </c>
      <c r="G11" s="22" t="n">
        <f aca="false">IF(F11="","",IFERROR(IF(INDEX(Listes!$D$4:$D$10,MATCH(F11,Listes!$C$4:$C$10,0))="","",INDEX(Listes!$D$4:$D$10,MATCH(F11,Listes!$C$4:$C$10,0))),""))</f>
        <v>30</v>
      </c>
      <c r="H11" s="21" t="s">
        <v>190</v>
      </c>
      <c r="I11" s="23" t="n">
        <v>46209</v>
      </c>
      <c r="J11" s="24" t="n">
        <f aca="false">IF($C11="","",IFERROR(IF(SUMPRODUCT(MAX(('Exemple registre'!$C$11:$C$35=$A11)*'Exemple registre'!$B$11:$B$35))=0,"",SUMPRODUCT(MAX(('Exemple registre'!$C$11:$C$35=$A11)*'Exemple registre'!$B$11:$B$35))),""))</f>
        <v>46303</v>
      </c>
      <c r="K11" s="24" t="n">
        <f aca="false">IF(OR($C11="",G11=""),"",IF(J11&lt;&gt;"",J11+G11,IF(I11&lt;&gt;"",I11,"")))</f>
        <v>46333</v>
      </c>
      <c r="L11" s="25" t="str">
        <f aca="false">IF($C11="","",IF($F11="","Fréquence à choisir",IF(G11="","Au fil de l’eau",IF(K11="","Premier passage à planifier",IF(K11&lt;$D$4,"En retard",IF(K11&lt;=$D$4+$D$6,"Passage proche","À jour"))))))</f>
        <v>À jour</v>
      </c>
      <c r="M11" s="25" t="str">
        <f aca="false">IF($C11="","",IF(COUNTIFS('Exemple registre'!$C$11:$C$35,$A11,'Exemple registre'!$B$11:$B$35,"&gt;="&amp;M$10,'Exemple registre'!$B$11:$B$35,"&lt;"&amp;EDATE(M$10,1))&gt;0,COUNTIFS('Exemple registre'!$C$11:$C$35,$A11,'Exemple registre'!$B$11:$B$35,"&gt;="&amp;M$10,'Exemple registre'!$B$11:$B$35,"&lt;"&amp;EDATE(M$10,1)),IF(AND($K11&lt;&gt;"",$K11&gt;=M$10,$K11&lt;EDATE(M$10,1)),"prévu","")))</f>
        <v/>
      </c>
      <c r="N11" s="25" t="str">
        <f aca="false">IF($C11="","",IF(COUNTIFS('Exemple registre'!$C$11:$C$35,$A11,'Exemple registre'!$B$11:$B$35,"&gt;="&amp;N$10,'Exemple registre'!$B$11:$B$35,"&lt;"&amp;EDATE(N$10,1))&gt;0,COUNTIFS('Exemple registre'!$C$11:$C$35,$A11,'Exemple registre'!$B$11:$B$35,"&gt;="&amp;N$10,'Exemple registre'!$B$11:$B$35,"&lt;"&amp;EDATE(N$10,1)),IF(AND($K11&lt;&gt;"",$K11&gt;=N$10,$K11&lt;EDATE(N$10,1)),"prévu","")))</f>
        <v/>
      </c>
      <c r="O11" s="25" t="str">
        <f aca="false">IF($C11="","",IF(COUNTIFS('Exemple registre'!$C$11:$C$35,$A11,'Exemple registre'!$B$11:$B$35,"&gt;="&amp;O$10,'Exemple registre'!$B$11:$B$35,"&lt;"&amp;EDATE(O$10,1))&gt;0,COUNTIFS('Exemple registre'!$C$11:$C$35,$A11,'Exemple registre'!$B$11:$B$35,"&gt;="&amp;O$10,'Exemple registre'!$B$11:$B$35,"&lt;"&amp;EDATE(O$10,1)),IF(AND($K11&lt;&gt;"",$K11&gt;=O$10,$K11&lt;EDATE(O$10,1)),"prévu","")))</f>
        <v/>
      </c>
      <c r="P11" s="25" t="str">
        <f aca="false">IF($C11="","",IF(COUNTIFS('Exemple registre'!$C$11:$C$35,$A11,'Exemple registre'!$B$11:$B$35,"&gt;="&amp;P$10,'Exemple registre'!$B$11:$B$35,"&lt;"&amp;EDATE(P$10,1))&gt;0,COUNTIFS('Exemple registre'!$C$11:$C$35,$A11,'Exemple registre'!$B$11:$B$35,"&gt;="&amp;P$10,'Exemple registre'!$B$11:$B$35,"&lt;"&amp;EDATE(P$10,1)),IF(AND($K11&lt;&gt;"",$K11&gt;=P$10,$K11&lt;EDATE(P$10,1)),"prévu","")))</f>
        <v/>
      </c>
      <c r="Q11" s="25" t="n">
        <f aca="false">IF($C11="","",IF(COUNTIFS('Exemple registre'!$C$11:$C$35,$A11,'Exemple registre'!$B$11:$B$35,"&gt;="&amp;Q$10,'Exemple registre'!$B$11:$B$35,"&lt;"&amp;EDATE(Q$10,1))&gt;0,COUNTIFS('Exemple registre'!$C$11:$C$35,$A11,'Exemple registre'!$B$11:$B$35,"&gt;="&amp;Q$10,'Exemple registre'!$B$11:$B$35,"&lt;"&amp;EDATE(Q$10,1)),IF(AND($K11&lt;&gt;"",$K11&gt;=Q$10,$K11&lt;EDATE(Q$10,1)),"prévu","")))</f>
        <v>1</v>
      </c>
      <c r="R11" s="25" t="n">
        <f aca="false">IF($C11="","",IF(COUNTIFS('Exemple registre'!$C$11:$C$35,$A11,'Exemple registre'!$B$11:$B$35,"&gt;="&amp;R$10,'Exemple registre'!$B$11:$B$35,"&lt;"&amp;EDATE(R$10,1))&gt;0,COUNTIFS('Exemple registre'!$C$11:$C$35,$A11,'Exemple registre'!$B$11:$B$35,"&gt;="&amp;R$10,'Exemple registre'!$B$11:$B$35,"&lt;"&amp;EDATE(R$10,1)),IF(AND($K11&lt;&gt;"",$K11&gt;=R$10,$K11&lt;EDATE(R$10,1)),"prévu","")))</f>
        <v>1</v>
      </c>
      <c r="S11" s="25" t="n">
        <f aca="false">IF($C11="","",IF(COUNTIFS('Exemple registre'!$C$11:$C$35,$A11,'Exemple registre'!$B$11:$B$35,"&gt;="&amp;S$10,'Exemple registre'!$B$11:$B$35,"&lt;"&amp;EDATE(S$10,1))&gt;0,COUNTIFS('Exemple registre'!$C$11:$C$35,$A11,'Exemple registre'!$B$11:$B$35,"&gt;="&amp;S$10,'Exemple registre'!$B$11:$B$35,"&lt;"&amp;EDATE(S$10,1)),IF(AND($K11&lt;&gt;"",$K11&gt;=S$10,$K11&lt;EDATE(S$10,1)),"prévu","")))</f>
        <v>1</v>
      </c>
      <c r="T11" s="25" t="n">
        <f aca="false">IF($C11="","",IF(COUNTIFS('Exemple registre'!$C$11:$C$35,$A11,'Exemple registre'!$B$11:$B$35,"&gt;="&amp;T$10,'Exemple registre'!$B$11:$B$35,"&lt;"&amp;EDATE(T$10,1))&gt;0,COUNTIFS('Exemple registre'!$C$11:$C$35,$A11,'Exemple registre'!$B$11:$B$35,"&gt;="&amp;T$10,'Exemple registre'!$B$11:$B$35,"&lt;"&amp;EDATE(T$10,1)),IF(AND($K11&lt;&gt;"",$K11&gt;=T$10,$K11&lt;EDATE(T$10,1)),"prévu","")))</f>
        <v>1</v>
      </c>
      <c r="U11" s="25" t="str">
        <f aca="false">IF($C11="","",IF(COUNTIFS('Exemple registre'!$C$11:$C$35,$A11,'Exemple registre'!$B$11:$B$35,"&gt;="&amp;U$10,'Exemple registre'!$B$11:$B$35,"&lt;"&amp;EDATE(U$10,1))&gt;0,COUNTIFS('Exemple registre'!$C$11:$C$35,$A11,'Exemple registre'!$B$11:$B$35,"&gt;="&amp;U$10,'Exemple registre'!$B$11:$B$35,"&lt;"&amp;EDATE(U$10,1)),IF(AND($K11&lt;&gt;"",$K11&gt;=U$10,$K11&lt;EDATE(U$10,1)),"prévu","")))</f>
        <v>prévu</v>
      </c>
      <c r="V11" s="25" t="str">
        <f aca="false">IF($C11="","",IF(COUNTIFS('Exemple registre'!$C$11:$C$35,$A11,'Exemple registre'!$B$11:$B$35,"&gt;="&amp;V$10,'Exemple registre'!$B$11:$B$35,"&lt;"&amp;EDATE(V$10,1))&gt;0,COUNTIFS('Exemple registre'!$C$11:$C$35,$A11,'Exemple registre'!$B$11:$B$35,"&gt;="&amp;V$10,'Exemple registre'!$B$11:$B$35,"&lt;"&amp;EDATE(V$10,1)),IF(AND($K11&lt;&gt;"",$K11&gt;=V$10,$K11&lt;EDATE(V$10,1)),"prévu","")))</f>
        <v/>
      </c>
      <c r="W11" s="25" t="str">
        <f aca="false">IF($C11="","",IF(COUNTIFS('Exemple registre'!$C$11:$C$35,$A11,'Exemple registre'!$B$11:$B$35,"&gt;="&amp;W$10,'Exemple registre'!$B$11:$B$35,"&lt;"&amp;EDATE(W$10,1))&gt;0,COUNTIFS('Exemple registre'!$C$11:$C$35,$A11,'Exemple registre'!$B$11:$B$35,"&gt;="&amp;W$10,'Exemple registre'!$B$11:$B$35,"&lt;"&amp;EDATE(W$10,1)),IF(AND($K11&lt;&gt;"",$K11&gt;=W$10,$K11&lt;EDATE(W$10,1)),"prévu","")))</f>
        <v/>
      </c>
      <c r="X11" s="25" t="str">
        <f aca="false">IF($C11="","",IF(COUNTIFS('Exemple registre'!$C$11:$C$35,$A11,'Exemple registre'!$B$11:$B$35,"&gt;="&amp;X$10,'Exemple registre'!$B$11:$B$35,"&lt;"&amp;EDATE(X$10,1))&gt;0,COUNTIFS('Exemple registre'!$C$11:$C$35,$A11,'Exemple registre'!$B$11:$B$35,"&gt;="&amp;X$10,'Exemple registre'!$B$11:$B$35,"&lt;"&amp;EDATE(X$10,1)),IF(AND($K11&lt;&gt;"",$K11&gt;=X$10,$K11&lt;EDATE(X$10,1)),"prévu","")))</f>
        <v/>
      </c>
    </row>
    <row r="12" customFormat="false" ht="45" hidden="false" customHeight="true" outlineLevel="0" collapsed="false">
      <c r="A12" s="20" t="n">
        <v>2</v>
      </c>
      <c r="B12" s="21" t="s">
        <v>56</v>
      </c>
      <c r="C12" s="21" t="s">
        <v>60</v>
      </c>
      <c r="D12" s="21" t="s">
        <v>61</v>
      </c>
      <c r="E12" s="21" t="s">
        <v>62</v>
      </c>
      <c r="F12" s="21" t="s">
        <v>189</v>
      </c>
      <c r="G12" s="22" t="n">
        <f aca="false">IF(F12="","",IFERROR(IF(INDEX(Listes!$D$4:$D$10,MATCH(F12,Listes!$C$4:$C$10,0))="","",INDEX(Listes!$D$4:$D$10,MATCH(F12,Listes!$C$4:$C$10,0))),""))</f>
        <v>30</v>
      </c>
      <c r="H12" s="21" t="s">
        <v>191</v>
      </c>
      <c r="I12" s="23" t="n">
        <v>46233</v>
      </c>
      <c r="J12" s="24" t="n">
        <f aca="false">IF($C12="","",IFERROR(IF(SUMPRODUCT(MAX(('Exemple registre'!$C$11:$C$35=$A12)*'Exemple registre'!$B$11:$B$35))=0,"",SUMPRODUCT(MAX(('Exemple registre'!$C$11:$C$35=$A12)*'Exemple registre'!$B$11:$B$35))),""))</f>
        <v>46293</v>
      </c>
      <c r="K12" s="24" t="n">
        <f aca="false">IF(OR($C12="",G12=""),"",IF(J12&lt;&gt;"",J12+G12,IF(I12&lt;&gt;"",I12,"")))</f>
        <v>46323</v>
      </c>
      <c r="L12" s="25" t="str">
        <f aca="false">IF($C12="","",IF($F12="","Fréquence à choisir",IF(G12="","Au fil de l’eau",IF(K12="","Premier passage à planifier",IF(K12&lt;$D$4,"En retard",IF(K12&lt;=$D$4+$D$6,"Passage proche","À jour"))))))</f>
        <v>Passage proche</v>
      </c>
      <c r="M12" s="25" t="str">
        <f aca="false">IF($C12="","",IF(COUNTIFS('Exemple registre'!$C$11:$C$35,$A12,'Exemple registre'!$B$11:$B$35,"&gt;="&amp;M$10,'Exemple registre'!$B$11:$B$35,"&lt;"&amp;EDATE(M$10,1))&gt;0,COUNTIFS('Exemple registre'!$C$11:$C$35,$A12,'Exemple registre'!$B$11:$B$35,"&gt;="&amp;M$10,'Exemple registre'!$B$11:$B$35,"&lt;"&amp;EDATE(M$10,1)),IF(AND($K12&lt;&gt;"",$K12&gt;=M$10,$K12&lt;EDATE(M$10,1)),"prévu","")))</f>
        <v/>
      </c>
      <c r="N12" s="25" t="str">
        <f aca="false">IF($C12="","",IF(COUNTIFS('Exemple registre'!$C$11:$C$35,$A12,'Exemple registre'!$B$11:$B$35,"&gt;="&amp;N$10,'Exemple registre'!$B$11:$B$35,"&lt;"&amp;EDATE(N$10,1))&gt;0,COUNTIFS('Exemple registre'!$C$11:$C$35,$A12,'Exemple registre'!$B$11:$B$35,"&gt;="&amp;N$10,'Exemple registre'!$B$11:$B$35,"&lt;"&amp;EDATE(N$10,1)),IF(AND($K12&lt;&gt;"",$K12&gt;=N$10,$K12&lt;EDATE(N$10,1)),"prévu","")))</f>
        <v/>
      </c>
      <c r="O12" s="25" t="str">
        <f aca="false">IF($C12="","",IF(COUNTIFS('Exemple registre'!$C$11:$C$35,$A12,'Exemple registre'!$B$11:$B$35,"&gt;="&amp;O$10,'Exemple registre'!$B$11:$B$35,"&lt;"&amp;EDATE(O$10,1))&gt;0,COUNTIFS('Exemple registre'!$C$11:$C$35,$A12,'Exemple registre'!$B$11:$B$35,"&gt;="&amp;O$10,'Exemple registre'!$B$11:$B$35,"&lt;"&amp;EDATE(O$10,1)),IF(AND($K12&lt;&gt;"",$K12&gt;=O$10,$K12&lt;EDATE(O$10,1)),"prévu","")))</f>
        <v/>
      </c>
      <c r="P12" s="25" t="str">
        <f aca="false">IF($C12="","",IF(COUNTIFS('Exemple registre'!$C$11:$C$35,$A12,'Exemple registre'!$B$11:$B$35,"&gt;="&amp;P$10,'Exemple registre'!$B$11:$B$35,"&lt;"&amp;EDATE(P$10,1))&gt;0,COUNTIFS('Exemple registre'!$C$11:$C$35,$A12,'Exemple registre'!$B$11:$B$35,"&gt;="&amp;P$10,'Exemple registre'!$B$11:$B$35,"&lt;"&amp;EDATE(P$10,1)),IF(AND($K12&lt;&gt;"",$K12&gt;=P$10,$K12&lt;EDATE(P$10,1)),"prévu","")))</f>
        <v/>
      </c>
      <c r="Q12" s="25" t="n">
        <f aca="false">IF($C12="","",IF(COUNTIFS('Exemple registre'!$C$11:$C$35,$A12,'Exemple registre'!$B$11:$B$35,"&gt;="&amp;Q$10,'Exemple registre'!$B$11:$B$35,"&lt;"&amp;EDATE(Q$10,1))&gt;0,COUNTIFS('Exemple registre'!$C$11:$C$35,$A12,'Exemple registre'!$B$11:$B$35,"&gt;="&amp;Q$10,'Exemple registre'!$B$11:$B$35,"&lt;"&amp;EDATE(Q$10,1)),IF(AND($K12&lt;&gt;"",$K12&gt;=Q$10,$K12&lt;EDATE(Q$10,1)),"prévu","")))</f>
        <v>1</v>
      </c>
      <c r="R12" s="25" t="n">
        <f aca="false">IF($C12="","",IF(COUNTIFS('Exemple registre'!$C$11:$C$35,$A12,'Exemple registre'!$B$11:$B$35,"&gt;="&amp;R$10,'Exemple registre'!$B$11:$B$35,"&lt;"&amp;EDATE(R$10,1))&gt;0,COUNTIFS('Exemple registre'!$C$11:$C$35,$A12,'Exemple registre'!$B$11:$B$35,"&gt;="&amp;R$10,'Exemple registre'!$B$11:$B$35,"&lt;"&amp;EDATE(R$10,1)),IF(AND($K12&lt;&gt;"",$K12&gt;=R$10,$K12&lt;EDATE(R$10,1)),"prévu","")))</f>
        <v>1</v>
      </c>
      <c r="S12" s="25" t="n">
        <f aca="false">IF($C12="","",IF(COUNTIFS('Exemple registre'!$C$11:$C$35,$A12,'Exemple registre'!$B$11:$B$35,"&gt;="&amp;S$10,'Exemple registre'!$B$11:$B$35,"&lt;"&amp;EDATE(S$10,1))&gt;0,COUNTIFS('Exemple registre'!$C$11:$C$35,$A12,'Exemple registre'!$B$11:$B$35,"&gt;="&amp;S$10,'Exemple registre'!$B$11:$B$35,"&lt;"&amp;EDATE(S$10,1)),IF(AND($K12&lt;&gt;"",$K12&gt;=S$10,$K12&lt;EDATE(S$10,1)),"prévu","")))</f>
        <v>1</v>
      </c>
      <c r="T12" s="25" t="str">
        <f aca="false">IF($C12="","",IF(COUNTIFS('Exemple registre'!$C$11:$C$35,$A12,'Exemple registre'!$B$11:$B$35,"&gt;="&amp;T$10,'Exemple registre'!$B$11:$B$35,"&lt;"&amp;EDATE(T$10,1))&gt;0,COUNTIFS('Exemple registre'!$C$11:$C$35,$A12,'Exemple registre'!$B$11:$B$35,"&gt;="&amp;T$10,'Exemple registre'!$B$11:$B$35,"&lt;"&amp;EDATE(T$10,1)),IF(AND($K12&lt;&gt;"",$K12&gt;=T$10,$K12&lt;EDATE(T$10,1)),"prévu","")))</f>
        <v>prévu</v>
      </c>
      <c r="U12" s="25" t="str">
        <f aca="false">IF($C12="","",IF(COUNTIFS('Exemple registre'!$C$11:$C$35,$A12,'Exemple registre'!$B$11:$B$35,"&gt;="&amp;U$10,'Exemple registre'!$B$11:$B$35,"&lt;"&amp;EDATE(U$10,1))&gt;0,COUNTIFS('Exemple registre'!$C$11:$C$35,$A12,'Exemple registre'!$B$11:$B$35,"&gt;="&amp;U$10,'Exemple registre'!$B$11:$B$35,"&lt;"&amp;EDATE(U$10,1)),IF(AND($K12&lt;&gt;"",$K12&gt;=U$10,$K12&lt;EDATE(U$10,1)),"prévu","")))</f>
        <v/>
      </c>
      <c r="V12" s="25" t="str">
        <f aca="false">IF($C12="","",IF(COUNTIFS('Exemple registre'!$C$11:$C$35,$A12,'Exemple registre'!$B$11:$B$35,"&gt;="&amp;V$10,'Exemple registre'!$B$11:$B$35,"&lt;"&amp;EDATE(V$10,1))&gt;0,COUNTIFS('Exemple registre'!$C$11:$C$35,$A12,'Exemple registre'!$B$11:$B$35,"&gt;="&amp;V$10,'Exemple registre'!$B$11:$B$35,"&lt;"&amp;EDATE(V$10,1)),IF(AND($K12&lt;&gt;"",$K12&gt;=V$10,$K12&lt;EDATE(V$10,1)),"prévu","")))</f>
        <v/>
      </c>
      <c r="W12" s="25" t="str">
        <f aca="false">IF($C12="","",IF(COUNTIFS('Exemple registre'!$C$11:$C$35,$A12,'Exemple registre'!$B$11:$B$35,"&gt;="&amp;W$10,'Exemple registre'!$B$11:$B$35,"&lt;"&amp;EDATE(W$10,1))&gt;0,COUNTIFS('Exemple registre'!$C$11:$C$35,$A12,'Exemple registre'!$B$11:$B$35,"&gt;="&amp;W$10,'Exemple registre'!$B$11:$B$35,"&lt;"&amp;EDATE(W$10,1)),IF(AND($K12&lt;&gt;"",$K12&gt;=W$10,$K12&lt;EDATE(W$10,1)),"prévu","")))</f>
        <v/>
      </c>
      <c r="X12" s="25" t="str">
        <f aca="false">IF($C12="","",IF(COUNTIFS('Exemple registre'!$C$11:$C$35,$A12,'Exemple registre'!$B$11:$B$35,"&gt;="&amp;X$10,'Exemple registre'!$B$11:$B$35,"&lt;"&amp;EDATE(X$10,1))&gt;0,COUNTIFS('Exemple registre'!$C$11:$C$35,$A12,'Exemple registre'!$B$11:$B$35,"&gt;="&amp;X$10,'Exemple registre'!$B$11:$B$35,"&lt;"&amp;EDATE(X$10,1)),IF(AND($K12&lt;&gt;"",$K12&gt;=X$10,$K12&lt;EDATE(X$10,1)),"prévu","")))</f>
        <v/>
      </c>
    </row>
    <row r="13" customFormat="false" ht="45" hidden="false" customHeight="true" outlineLevel="0" collapsed="false">
      <c r="A13" s="20" t="n">
        <v>3</v>
      </c>
      <c r="B13" s="21" t="s">
        <v>56</v>
      </c>
      <c r="C13" s="21" t="s">
        <v>63</v>
      </c>
      <c r="D13" s="21" t="s">
        <v>61</v>
      </c>
      <c r="E13" s="21" t="s">
        <v>64</v>
      </c>
      <c r="F13" s="21" t="s">
        <v>192</v>
      </c>
      <c r="G13" s="22" t="n">
        <f aca="false">IF(F13="","",IFERROR(IF(INDEX(Listes!$D$4:$D$10,MATCH(F13,Listes!$C$4:$C$10,0))="","",INDEX(Listes!$D$4:$D$10,MATCH(F13,Listes!$C$4:$C$10,0))),""))</f>
        <v>91</v>
      </c>
      <c r="H13" s="21" t="s">
        <v>193</v>
      </c>
      <c r="I13" s="23" t="n">
        <v>46218</v>
      </c>
      <c r="J13" s="24" t="n">
        <f aca="false">IF($C13="","",IFERROR(IF(SUMPRODUCT(MAX(('Exemple registre'!$C$11:$C$35=$A13)*'Exemple registre'!$B$11:$B$35))=0,"",SUMPRODUCT(MAX(('Exemple registre'!$C$11:$C$35=$A13)*'Exemple registre'!$B$11:$B$35))),""))</f>
        <v>46218</v>
      </c>
      <c r="K13" s="24" t="n">
        <f aca="false">IF(OR($C13="",G13=""),"",IF(J13&lt;&gt;"",J13+G13,IF(I13&lt;&gt;"",I13,"")))</f>
        <v>46309</v>
      </c>
      <c r="L13" s="25" t="str">
        <f aca="false">IF($C13="","",IF($F13="","Fréquence à choisir",IF(G13="","Au fil de l’eau",IF(K13="","Premier passage à planifier",IF(K13&lt;$D$4,"En retard",IF(K13&lt;=$D$4+$D$6,"Passage proche","À jour"))))))</f>
        <v>En retard</v>
      </c>
      <c r="M13" s="25" t="str">
        <f aca="false">IF($C13="","",IF(COUNTIFS('Exemple registre'!$C$11:$C$35,$A13,'Exemple registre'!$B$11:$B$35,"&gt;="&amp;M$10,'Exemple registre'!$B$11:$B$35,"&lt;"&amp;EDATE(M$10,1))&gt;0,COUNTIFS('Exemple registre'!$C$11:$C$35,$A13,'Exemple registre'!$B$11:$B$35,"&gt;="&amp;M$10,'Exemple registre'!$B$11:$B$35,"&lt;"&amp;EDATE(M$10,1)),IF(AND($K13&lt;&gt;"",$K13&gt;=M$10,$K13&lt;EDATE(M$10,1)),"prévu","")))</f>
        <v/>
      </c>
      <c r="N13" s="25" t="str">
        <f aca="false">IF($C13="","",IF(COUNTIFS('Exemple registre'!$C$11:$C$35,$A13,'Exemple registre'!$B$11:$B$35,"&gt;="&amp;N$10,'Exemple registre'!$B$11:$B$35,"&lt;"&amp;EDATE(N$10,1))&gt;0,COUNTIFS('Exemple registre'!$C$11:$C$35,$A13,'Exemple registre'!$B$11:$B$35,"&gt;="&amp;N$10,'Exemple registre'!$B$11:$B$35,"&lt;"&amp;EDATE(N$10,1)),IF(AND($K13&lt;&gt;"",$K13&gt;=N$10,$K13&lt;EDATE(N$10,1)),"prévu","")))</f>
        <v/>
      </c>
      <c r="O13" s="25" t="str">
        <f aca="false">IF($C13="","",IF(COUNTIFS('Exemple registre'!$C$11:$C$35,$A13,'Exemple registre'!$B$11:$B$35,"&gt;="&amp;O$10,'Exemple registre'!$B$11:$B$35,"&lt;"&amp;EDATE(O$10,1))&gt;0,COUNTIFS('Exemple registre'!$C$11:$C$35,$A13,'Exemple registre'!$B$11:$B$35,"&gt;="&amp;O$10,'Exemple registre'!$B$11:$B$35,"&lt;"&amp;EDATE(O$10,1)),IF(AND($K13&lt;&gt;"",$K13&gt;=O$10,$K13&lt;EDATE(O$10,1)),"prévu","")))</f>
        <v/>
      </c>
      <c r="P13" s="25" t="str">
        <f aca="false">IF($C13="","",IF(COUNTIFS('Exemple registre'!$C$11:$C$35,$A13,'Exemple registre'!$B$11:$B$35,"&gt;="&amp;P$10,'Exemple registre'!$B$11:$B$35,"&lt;"&amp;EDATE(P$10,1))&gt;0,COUNTIFS('Exemple registre'!$C$11:$C$35,$A13,'Exemple registre'!$B$11:$B$35,"&gt;="&amp;P$10,'Exemple registre'!$B$11:$B$35,"&lt;"&amp;EDATE(P$10,1)),IF(AND($K13&lt;&gt;"",$K13&gt;=P$10,$K13&lt;EDATE(P$10,1)),"prévu","")))</f>
        <v/>
      </c>
      <c r="Q13" s="25" t="n">
        <f aca="false">IF($C13="","",IF(COUNTIFS('Exemple registre'!$C$11:$C$35,$A13,'Exemple registre'!$B$11:$B$35,"&gt;="&amp;Q$10,'Exemple registre'!$B$11:$B$35,"&lt;"&amp;EDATE(Q$10,1))&gt;0,COUNTIFS('Exemple registre'!$C$11:$C$35,$A13,'Exemple registre'!$B$11:$B$35,"&gt;="&amp;Q$10,'Exemple registre'!$B$11:$B$35,"&lt;"&amp;EDATE(Q$10,1)),IF(AND($K13&lt;&gt;"",$K13&gt;=Q$10,$K13&lt;EDATE(Q$10,1)),"prévu","")))</f>
        <v>1</v>
      </c>
      <c r="R13" s="25" t="str">
        <f aca="false">IF($C13="","",IF(COUNTIFS('Exemple registre'!$C$11:$C$35,$A13,'Exemple registre'!$B$11:$B$35,"&gt;="&amp;R$10,'Exemple registre'!$B$11:$B$35,"&lt;"&amp;EDATE(R$10,1))&gt;0,COUNTIFS('Exemple registre'!$C$11:$C$35,$A13,'Exemple registre'!$B$11:$B$35,"&gt;="&amp;R$10,'Exemple registre'!$B$11:$B$35,"&lt;"&amp;EDATE(R$10,1)),IF(AND($K13&lt;&gt;"",$K13&gt;=R$10,$K13&lt;EDATE(R$10,1)),"prévu","")))</f>
        <v/>
      </c>
      <c r="S13" s="25" t="str">
        <f aca="false">IF($C13="","",IF(COUNTIFS('Exemple registre'!$C$11:$C$35,$A13,'Exemple registre'!$B$11:$B$35,"&gt;="&amp;S$10,'Exemple registre'!$B$11:$B$35,"&lt;"&amp;EDATE(S$10,1))&gt;0,COUNTIFS('Exemple registre'!$C$11:$C$35,$A13,'Exemple registre'!$B$11:$B$35,"&gt;="&amp;S$10,'Exemple registre'!$B$11:$B$35,"&lt;"&amp;EDATE(S$10,1)),IF(AND($K13&lt;&gt;"",$K13&gt;=S$10,$K13&lt;EDATE(S$10,1)),"prévu","")))</f>
        <v/>
      </c>
      <c r="T13" s="25" t="str">
        <f aca="false">IF($C13="","",IF(COUNTIFS('Exemple registre'!$C$11:$C$35,$A13,'Exemple registre'!$B$11:$B$35,"&gt;="&amp;T$10,'Exemple registre'!$B$11:$B$35,"&lt;"&amp;EDATE(T$10,1))&gt;0,COUNTIFS('Exemple registre'!$C$11:$C$35,$A13,'Exemple registre'!$B$11:$B$35,"&gt;="&amp;T$10,'Exemple registre'!$B$11:$B$35,"&lt;"&amp;EDATE(T$10,1)),IF(AND($K13&lt;&gt;"",$K13&gt;=T$10,$K13&lt;EDATE(T$10,1)),"prévu","")))</f>
        <v>prévu</v>
      </c>
      <c r="U13" s="25" t="str">
        <f aca="false">IF($C13="","",IF(COUNTIFS('Exemple registre'!$C$11:$C$35,$A13,'Exemple registre'!$B$11:$B$35,"&gt;="&amp;U$10,'Exemple registre'!$B$11:$B$35,"&lt;"&amp;EDATE(U$10,1))&gt;0,COUNTIFS('Exemple registre'!$C$11:$C$35,$A13,'Exemple registre'!$B$11:$B$35,"&gt;="&amp;U$10,'Exemple registre'!$B$11:$B$35,"&lt;"&amp;EDATE(U$10,1)),IF(AND($K13&lt;&gt;"",$K13&gt;=U$10,$K13&lt;EDATE(U$10,1)),"prévu","")))</f>
        <v/>
      </c>
      <c r="V13" s="25" t="str">
        <f aca="false">IF($C13="","",IF(COUNTIFS('Exemple registre'!$C$11:$C$35,$A13,'Exemple registre'!$B$11:$B$35,"&gt;="&amp;V$10,'Exemple registre'!$B$11:$B$35,"&lt;"&amp;EDATE(V$10,1))&gt;0,COUNTIFS('Exemple registre'!$C$11:$C$35,$A13,'Exemple registre'!$B$11:$B$35,"&gt;="&amp;V$10,'Exemple registre'!$B$11:$B$35,"&lt;"&amp;EDATE(V$10,1)),IF(AND($K13&lt;&gt;"",$K13&gt;=V$10,$K13&lt;EDATE(V$10,1)),"prévu","")))</f>
        <v/>
      </c>
      <c r="W13" s="25" t="str">
        <f aca="false">IF($C13="","",IF(COUNTIFS('Exemple registre'!$C$11:$C$35,$A13,'Exemple registre'!$B$11:$B$35,"&gt;="&amp;W$10,'Exemple registre'!$B$11:$B$35,"&lt;"&amp;EDATE(W$10,1))&gt;0,COUNTIFS('Exemple registre'!$C$11:$C$35,$A13,'Exemple registre'!$B$11:$B$35,"&gt;="&amp;W$10,'Exemple registre'!$B$11:$B$35,"&lt;"&amp;EDATE(W$10,1)),IF(AND($K13&lt;&gt;"",$K13&gt;=W$10,$K13&lt;EDATE(W$10,1)),"prévu","")))</f>
        <v/>
      </c>
      <c r="X13" s="25" t="str">
        <f aca="false">IF($C13="","",IF(COUNTIFS('Exemple registre'!$C$11:$C$35,$A13,'Exemple registre'!$B$11:$B$35,"&gt;="&amp;X$10,'Exemple registre'!$B$11:$B$35,"&lt;"&amp;EDATE(X$10,1))&gt;0,COUNTIFS('Exemple registre'!$C$11:$C$35,$A13,'Exemple registre'!$B$11:$B$35,"&gt;="&amp;X$10,'Exemple registre'!$B$11:$B$35,"&lt;"&amp;EDATE(X$10,1)),IF(AND($K13&lt;&gt;"",$K13&gt;=X$10,$K13&lt;EDATE(X$10,1)),"prévu","")))</f>
        <v/>
      </c>
    </row>
    <row r="14" customFormat="false" ht="45" hidden="false" customHeight="true" outlineLevel="0" collapsed="false">
      <c r="A14" s="20" t="n">
        <v>4</v>
      </c>
      <c r="B14" s="21" t="s">
        <v>56</v>
      </c>
      <c r="C14" s="21" t="s">
        <v>194</v>
      </c>
      <c r="D14" s="21" t="s">
        <v>66</v>
      </c>
      <c r="E14" s="21" t="s">
        <v>195</v>
      </c>
      <c r="F14" s="21" t="s">
        <v>196</v>
      </c>
      <c r="G14" s="22" t="str">
        <f aca="false">IF(F14="","",IFERROR(IF(INDEX(Listes!$D$4:$D$10,MATCH(F14,Listes!$C$4:$C$10,0))="","",INDEX(Listes!$D$4:$D$10,MATCH(F14,Listes!$C$4:$C$10,0))),""))</f>
        <v/>
      </c>
      <c r="H14" s="21" t="s">
        <v>190</v>
      </c>
      <c r="I14" s="23"/>
      <c r="J14" s="24" t="n">
        <f aca="false">IF($C14="","",IFERROR(IF(SUMPRODUCT(MAX(('Exemple registre'!$C$11:$C$35=$A14)*'Exemple registre'!$B$11:$B$35))=0,"",SUMPRODUCT(MAX(('Exemple registre'!$C$11:$C$35=$A14)*'Exemple registre'!$B$11:$B$35))),""))</f>
        <v>46288</v>
      </c>
      <c r="K14" s="24" t="str">
        <f aca="false">IF(OR($C14="",G14=""),"",IF(J14&lt;&gt;"",J14+G14,IF(I14&lt;&gt;"",I14,"")))</f>
        <v/>
      </c>
      <c r="L14" s="25" t="str">
        <f aca="false">IF($C14="","",IF($F14="","Fréquence à choisir",IF(G14="","Au fil de l’eau",IF(K14="","Premier passage à planifier",IF(K14&lt;$D$4,"En retard",IF(K14&lt;=$D$4+$D$6,"Passage proche","À jour"))))))</f>
        <v>Au fil de l’eau</v>
      </c>
      <c r="M14" s="25" t="str">
        <f aca="false">IF($C14="","",IF(COUNTIFS('Exemple registre'!$C$11:$C$35,$A14,'Exemple registre'!$B$11:$B$35,"&gt;="&amp;M$10,'Exemple registre'!$B$11:$B$35,"&lt;"&amp;EDATE(M$10,1))&gt;0,COUNTIFS('Exemple registre'!$C$11:$C$35,$A14,'Exemple registre'!$B$11:$B$35,"&gt;="&amp;M$10,'Exemple registre'!$B$11:$B$35,"&lt;"&amp;EDATE(M$10,1)),IF(AND($K14&lt;&gt;"",$K14&gt;=M$10,$K14&lt;EDATE(M$10,1)),"prévu","")))</f>
        <v/>
      </c>
      <c r="N14" s="25" t="str">
        <f aca="false">IF($C14="","",IF(COUNTIFS('Exemple registre'!$C$11:$C$35,$A14,'Exemple registre'!$B$11:$B$35,"&gt;="&amp;N$10,'Exemple registre'!$B$11:$B$35,"&lt;"&amp;EDATE(N$10,1))&gt;0,COUNTIFS('Exemple registre'!$C$11:$C$35,$A14,'Exemple registre'!$B$11:$B$35,"&gt;="&amp;N$10,'Exemple registre'!$B$11:$B$35,"&lt;"&amp;EDATE(N$10,1)),IF(AND($K14&lt;&gt;"",$K14&gt;=N$10,$K14&lt;EDATE(N$10,1)),"prévu","")))</f>
        <v/>
      </c>
      <c r="O14" s="25" t="str">
        <f aca="false">IF($C14="","",IF(COUNTIFS('Exemple registre'!$C$11:$C$35,$A14,'Exemple registre'!$B$11:$B$35,"&gt;="&amp;O$10,'Exemple registre'!$B$11:$B$35,"&lt;"&amp;EDATE(O$10,1))&gt;0,COUNTIFS('Exemple registre'!$C$11:$C$35,$A14,'Exemple registre'!$B$11:$B$35,"&gt;="&amp;O$10,'Exemple registre'!$B$11:$B$35,"&lt;"&amp;EDATE(O$10,1)),IF(AND($K14&lt;&gt;"",$K14&gt;=O$10,$K14&lt;EDATE(O$10,1)),"prévu","")))</f>
        <v/>
      </c>
      <c r="P14" s="25" t="str">
        <f aca="false">IF($C14="","",IF(COUNTIFS('Exemple registre'!$C$11:$C$35,$A14,'Exemple registre'!$B$11:$B$35,"&gt;="&amp;P$10,'Exemple registre'!$B$11:$B$35,"&lt;"&amp;EDATE(P$10,1))&gt;0,COUNTIFS('Exemple registre'!$C$11:$C$35,$A14,'Exemple registre'!$B$11:$B$35,"&gt;="&amp;P$10,'Exemple registre'!$B$11:$B$35,"&lt;"&amp;EDATE(P$10,1)),IF(AND($K14&lt;&gt;"",$K14&gt;=P$10,$K14&lt;EDATE(P$10,1)),"prévu","")))</f>
        <v/>
      </c>
      <c r="Q14" s="25" t="str">
        <f aca="false">IF($C14="","",IF(COUNTIFS('Exemple registre'!$C$11:$C$35,$A14,'Exemple registre'!$B$11:$B$35,"&gt;="&amp;Q$10,'Exemple registre'!$B$11:$B$35,"&lt;"&amp;EDATE(Q$10,1))&gt;0,COUNTIFS('Exemple registre'!$C$11:$C$35,$A14,'Exemple registre'!$B$11:$B$35,"&gt;="&amp;Q$10,'Exemple registre'!$B$11:$B$35,"&lt;"&amp;EDATE(Q$10,1)),IF(AND($K14&lt;&gt;"",$K14&gt;=Q$10,$K14&lt;EDATE(Q$10,1)),"prévu","")))</f>
        <v/>
      </c>
      <c r="R14" s="25" t="n">
        <f aca="false">IF($C14="","",IF(COUNTIFS('Exemple registre'!$C$11:$C$35,$A14,'Exemple registre'!$B$11:$B$35,"&gt;="&amp;R$10,'Exemple registre'!$B$11:$B$35,"&lt;"&amp;EDATE(R$10,1))&gt;0,COUNTIFS('Exemple registre'!$C$11:$C$35,$A14,'Exemple registre'!$B$11:$B$35,"&gt;="&amp;R$10,'Exemple registre'!$B$11:$B$35,"&lt;"&amp;EDATE(R$10,1)),IF(AND($K14&lt;&gt;"",$K14&gt;=R$10,$K14&lt;EDATE(R$10,1)),"prévu","")))</f>
        <v>1</v>
      </c>
      <c r="S14" s="25" t="n">
        <f aca="false">IF($C14="","",IF(COUNTIFS('Exemple registre'!$C$11:$C$35,$A14,'Exemple registre'!$B$11:$B$35,"&gt;="&amp;S$10,'Exemple registre'!$B$11:$B$35,"&lt;"&amp;EDATE(S$10,1))&gt;0,COUNTIFS('Exemple registre'!$C$11:$C$35,$A14,'Exemple registre'!$B$11:$B$35,"&gt;="&amp;S$10,'Exemple registre'!$B$11:$B$35,"&lt;"&amp;EDATE(S$10,1)),IF(AND($K14&lt;&gt;"",$K14&gt;=S$10,$K14&lt;EDATE(S$10,1)),"prévu","")))</f>
        <v>1</v>
      </c>
      <c r="T14" s="25" t="str">
        <f aca="false">IF($C14="","",IF(COUNTIFS('Exemple registre'!$C$11:$C$35,$A14,'Exemple registre'!$B$11:$B$35,"&gt;="&amp;T$10,'Exemple registre'!$B$11:$B$35,"&lt;"&amp;EDATE(T$10,1))&gt;0,COUNTIFS('Exemple registre'!$C$11:$C$35,$A14,'Exemple registre'!$B$11:$B$35,"&gt;="&amp;T$10,'Exemple registre'!$B$11:$B$35,"&lt;"&amp;EDATE(T$10,1)),IF(AND($K14&lt;&gt;"",$K14&gt;=T$10,$K14&lt;EDATE(T$10,1)),"prévu","")))</f>
        <v/>
      </c>
      <c r="U14" s="25" t="str">
        <f aca="false">IF($C14="","",IF(COUNTIFS('Exemple registre'!$C$11:$C$35,$A14,'Exemple registre'!$B$11:$B$35,"&gt;="&amp;U$10,'Exemple registre'!$B$11:$B$35,"&lt;"&amp;EDATE(U$10,1))&gt;0,COUNTIFS('Exemple registre'!$C$11:$C$35,$A14,'Exemple registre'!$B$11:$B$35,"&gt;="&amp;U$10,'Exemple registre'!$B$11:$B$35,"&lt;"&amp;EDATE(U$10,1)),IF(AND($K14&lt;&gt;"",$K14&gt;=U$10,$K14&lt;EDATE(U$10,1)),"prévu","")))</f>
        <v/>
      </c>
      <c r="V14" s="25" t="str">
        <f aca="false">IF($C14="","",IF(COUNTIFS('Exemple registre'!$C$11:$C$35,$A14,'Exemple registre'!$B$11:$B$35,"&gt;="&amp;V$10,'Exemple registre'!$B$11:$B$35,"&lt;"&amp;EDATE(V$10,1))&gt;0,COUNTIFS('Exemple registre'!$C$11:$C$35,$A14,'Exemple registre'!$B$11:$B$35,"&gt;="&amp;V$10,'Exemple registre'!$B$11:$B$35,"&lt;"&amp;EDATE(V$10,1)),IF(AND($K14&lt;&gt;"",$K14&gt;=V$10,$K14&lt;EDATE(V$10,1)),"prévu","")))</f>
        <v/>
      </c>
      <c r="W14" s="25" t="str">
        <f aca="false">IF($C14="","",IF(COUNTIFS('Exemple registre'!$C$11:$C$35,$A14,'Exemple registre'!$B$11:$B$35,"&gt;="&amp;W$10,'Exemple registre'!$B$11:$B$35,"&lt;"&amp;EDATE(W$10,1))&gt;0,COUNTIFS('Exemple registre'!$C$11:$C$35,$A14,'Exemple registre'!$B$11:$B$35,"&gt;="&amp;W$10,'Exemple registre'!$B$11:$B$35,"&lt;"&amp;EDATE(W$10,1)),IF(AND($K14&lt;&gt;"",$K14&gt;=W$10,$K14&lt;EDATE(W$10,1)),"prévu","")))</f>
        <v/>
      </c>
      <c r="X14" s="25" t="str">
        <f aca="false">IF($C14="","",IF(COUNTIFS('Exemple registre'!$C$11:$C$35,$A14,'Exemple registre'!$B$11:$B$35,"&gt;="&amp;X$10,'Exemple registre'!$B$11:$B$35,"&lt;"&amp;EDATE(X$10,1))&gt;0,COUNTIFS('Exemple registre'!$C$11:$C$35,$A14,'Exemple registre'!$B$11:$B$35,"&gt;="&amp;X$10,'Exemple registre'!$B$11:$B$35,"&lt;"&amp;EDATE(X$10,1)),IF(AND($K14&lt;&gt;"",$K14&gt;=X$10,$K14&lt;EDATE(X$10,1)),"prévu","")))</f>
        <v/>
      </c>
    </row>
    <row r="15" customFormat="false" ht="45" hidden="false" customHeight="true" outlineLevel="0" collapsed="false">
      <c r="A15" s="20" t="n">
        <v>5</v>
      </c>
      <c r="B15" s="21" t="s">
        <v>56</v>
      </c>
      <c r="C15" s="21" t="s">
        <v>197</v>
      </c>
      <c r="D15" s="21" t="s">
        <v>70</v>
      </c>
      <c r="E15" s="21" t="s">
        <v>198</v>
      </c>
      <c r="F15" s="21" t="s">
        <v>192</v>
      </c>
      <c r="G15" s="22" t="n">
        <f aca="false">IF(F15="","",IFERROR(IF(INDEX(Listes!$D$4:$D$10,MATCH(F15,Listes!$C$4:$C$10,0))="","",INDEX(Listes!$D$4:$D$10,MATCH(F15,Listes!$C$4:$C$10,0))),""))</f>
        <v>91</v>
      </c>
      <c r="H15" s="21" t="s">
        <v>199</v>
      </c>
      <c r="I15" s="23" t="n">
        <v>46267</v>
      </c>
      <c r="J15" s="24" t="n">
        <f aca="false">IF($C15="","",IFERROR(IF(SUMPRODUCT(MAX(('Exemple registre'!$C$11:$C$35=$A15)*'Exemple registre'!$B$11:$B$35))=0,"",SUMPRODUCT(MAX(('Exemple registre'!$C$11:$C$35=$A15)*'Exemple registre'!$B$11:$B$35))),""))</f>
        <v>46267</v>
      </c>
      <c r="K15" s="24" t="n">
        <f aca="false">IF(OR($C15="",G15=""),"",IF(J15&lt;&gt;"",J15+G15,IF(I15&lt;&gt;"",I15,"")))</f>
        <v>46358</v>
      </c>
      <c r="L15" s="25" t="str">
        <f aca="false">IF($C15="","",IF($F15="","Fréquence à choisir",IF(G15="","Au fil de l’eau",IF(K15="","Premier passage à planifier",IF(K15&lt;$D$4,"En retard",IF(K15&lt;=$D$4+$D$6,"Passage proche","À jour"))))))</f>
        <v>À jour</v>
      </c>
      <c r="M15" s="25" t="str">
        <f aca="false">IF($C15="","",IF(COUNTIFS('Exemple registre'!$C$11:$C$35,$A15,'Exemple registre'!$B$11:$B$35,"&gt;="&amp;M$10,'Exemple registre'!$B$11:$B$35,"&lt;"&amp;EDATE(M$10,1))&gt;0,COUNTIFS('Exemple registre'!$C$11:$C$35,$A15,'Exemple registre'!$B$11:$B$35,"&gt;="&amp;M$10,'Exemple registre'!$B$11:$B$35,"&lt;"&amp;EDATE(M$10,1)),IF(AND($K15&lt;&gt;"",$K15&gt;=M$10,$K15&lt;EDATE(M$10,1)),"prévu","")))</f>
        <v/>
      </c>
      <c r="N15" s="25" t="str">
        <f aca="false">IF($C15="","",IF(COUNTIFS('Exemple registre'!$C$11:$C$35,$A15,'Exemple registre'!$B$11:$B$35,"&gt;="&amp;N$10,'Exemple registre'!$B$11:$B$35,"&lt;"&amp;EDATE(N$10,1))&gt;0,COUNTIFS('Exemple registre'!$C$11:$C$35,$A15,'Exemple registre'!$B$11:$B$35,"&gt;="&amp;N$10,'Exemple registre'!$B$11:$B$35,"&lt;"&amp;EDATE(N$10,1)),IF(AND($K15&lt;&gt;"",$K15&gt;=N$10,$K15&lt;EDATE(N$10,1)),"prévu","")))</f>
        <v/>
      </c>
      <c r="O15" s="25" t="str">
        <f aca="false">IF($C15="","",IF(COUNTIFS('Exemple registre'!$C$11:$C$35,$A15,'Exemple registre'!$B$11:$B$35,"&gt;="&amp;O$10,'Exemple registre'!$B$11:$B$35,"&lt;"&amp;EDATE(O$10,1))&gt;0,COUNTIFS('Exemple registre'!$C$11:$C$35,$A15,'Exemple registre'!$B$11:$B$35,"&gt;="&amp;O$10,'Exemple registre'!$B$11:$B$35,"&lt;"&amp;EDATE(O$10,1)),IF(AND($K15&lt;&gt;"",$K15&gt;=O$10,$K15&lt;EDATE(O$10,1)),"prévu","")))</f>
        <v/>
      </c>
      <c r="P15" s="25" t="str">
        <f aca="false">IF($C15="","",IF(COUNTIFS('Exemple registre'!$C$11:$C$35,$A15,'Exemple registre'!$B$11:$B$35,"&gt;="&amp;P$10,'Exemple registre'!$B$11:$B$35,"&lt;"&amp;EDATE(P$10,1))&gt;0,COUNTIFS('Exemple registre'!$C$11:$C$35,$A15,'Exemple registre'!$B$11:$B$35,"&gt;="&amp;P$10,'Exemple registre'!$B$11:$B$35,"&lt;"&amp;EDATE(P$10,1)),IF(AND($K15&lt;&gt;"",$K15&gt;=P$10,$K15&lt;EDATE(P$10,1)),"prévu","")))</f>
        <v/>
      </c>
      <c r="Q15" s="25" t="str">
        <f aca="false">IF($C15="","",IF(COUNTIFS('Exemple registre'!$C$11:$C$35,$A15,'Exemple registre'!$B$11:$B$35,"&gt;="&amp;Q$10,'Exemple registre'!$B$11:$B$35,"&lt;"&amp;EDATE(Q$10,1))&gt;0,COUNTIFS('Exemple registre'!$C$11:$C$35,$A15,'Exemple registre'!$B$11:$B$35,"&gt;="&amp;Q$10,'Exemple registre'!$B$11:$B$35,"&lt;"&amp;EDATE(Q$10,1)),IF(AND($K15&lt;&gt;"",$K15&gt;=Q$10,$K15&lt;EDATE(Q$10,1)),"prévu","")))</f>
        <v/>
      </c>
      <c r="R15" s="25" t="str">
        <f aca="false">IF($C15="","",IF(COUNTIFS('Exemple registre'!$C$11:$C$35,$A15,'Exemple registre'!$B$11:$B$35,"&gt;="&amp;R$10,'Exemple registre'!$B$11:$B$35,"&lt;"&amp;EDATE(R$10,1))&gt;0,COUNTIFS('Exemple registre'!$C$11:$C$35,$A15,'Exemple registre'!$B$11:$B$35,"&gt;="&amp;R$10,'Exemple registre'!$B$11:$B$35,"&lt;"&amp;EDATE(R$10,1)),IF(AND($K15&lt;&gt;"",$K15&gt;=R$10,$K15&lt;EDATE(R$10,1)),"prévu","")))</f>
        <v/>
      </c>
      <c r="S15" s="25" t="n">
        <f aca="false">IF($C15="","",IF(COUNTIFS('Exemple registre'!$C$11:$C$35,$A15,'Exemple registre'!$B$11:$B$35,"&gt;="&amp;S$10,'Exemple registre'!$B$11:$B$35,"&lt;"&amp;EDATE(S$10,1))&gt;0,COUNTIFS('Exemple registre'!$C$11:$C$35,$A15,'Exemple registre'!$B$11:$B$35,"&gt;="&amp;S$10,'Exemple registre'!$B$11:$B$35,"&lt;"&amp;EDATE(S$10,1)),IF(AND($K15&lt;&gt;"",$K15&gt;=S$10,$K15&lt;EDATE(S$10,1)),"prévu","")))</f>
        <v>1</v>
      </c>
      <c r="T15" s="25" t="str">
        <f aca="false">IF($C15="","",IF(COUNTIFS('Exemple registre'!$C$11:$C$35,$A15,'Exemple registre'!$B$11:$B$35,"&gt;="&amp;T$10,'Exemple registre'!$B$11:$B$35,"&lt;"&amp;EDATE(T$10,1))&gt;0,COUNTIFS('Exemple registre'!$C$11:$C$35,$A15,'Exemple registre'!$B$11:$B$35,"&gt;="&amp;T$10,'Exemple registre'!$B$11:$B$35,"&lt;"&amp;EDATE(T$10,1)),IF(AND($K15&lt;&gt;"",$K15&gt;=T$10,$K15&lt;EDATE(T$10,1)),"prévu","")))</f>
        <v/>
      </c>
      <c r="U15" s="25" t="str">
        <f aca="false">IF($C15="","",IF(COUNTIFS('Exemple registre'!$C$11:$C$35,$A15,'Exemple registre'!$B$11:$B$35,"&gt;="&amp;U$10,'Exemple registre'!$B$11:$B$35,"&lt;"&amp;EDATE(U$10,1))&gt;0,COUNTIFS('Exemple registre'!$C$11:$C$35,$A15,'Exemple registre'!$B$11:$B$35,"&gt;="&amp;U$10,'Exemple registre'!$B$11:$B$35,"&lt;"&amp;EDATE(U$10,1)),IF(AND($K15&lt;&gt;"",$K15&gt;=U$10,$K15&lt;EDATE(U$10,1)),"prévu","")))</f>
        <v/>
      </c>
      <c r="V15" s="25" t="str">
        <f aca="false">IF($C15="","",IF(COUNTIFS('Exemple registre'!$C$11:$C$35,$A15,'Exemple registre'!$B$11:$B$35,"&gt;="&amp;V$10,'Exemple registre'!$B$11:$B$35,"&lt;"&amp;EDATE(V$10,1))&gt;0,COUNTIFS('Exemple registre'!$C$11:$C$35,$A15,'Exemple registre'!$B$11:$B$35,"&gt;="&amp;V$10,'Exemple registre'!$B$11:$B$35,"&lt;"&amp;EDATE(V$10,1)),IF(AND($K15&lt;&gt;"",$K15&gt;=V$10,$K15&lt;EDATE(V$10,1)),"prévu","")))</f>
        <v>prévu</v>
      </c>
      <c r="W15" s="25" t="str">
        <f aca="false">IF($C15="","",IF(COUNTIFS('Exemple registre'!$C$11:$C$35,$A15,'Exemple registre'!$B$11:$B$35,"&gt;="&amp;W$10,'Exemple registre'!$B$11:$B$35,"&lt;"&amp;EDATE(W$10,1))&gt;0,COUNTIFS('Exemple registre'!$C$11:$C$35,$A15,'Exemple registre'!$B$11:$B$35,"&gt;="&amp;W$10,'Exemple registre'!$B$11:$B$35,"&lt;"&amp;EDATE(W$10,1)),IF(AND($K15&lt;&gt;"",$K15&gt;=W$10,$K15&lt;EDATE(W$10,1)),"prévu","")))</f>
        <v/>
      </c>
      <c r="X15" s="25" t="str">
        <f aca="false">IF($C15="","",IF(COUNTIFS('Exemple registre'!$C$11:$C$35,$A15,'Exemple registre'!$B$11:$B$35,"&gt;="&amp;X$10,'Exemple registre'!$B$11:$B$35,"&lt;"&amp;EDATE(X$10,1))&gt;0,COUNTIFS('Exemple registre'!$C$11:$C$35,$A15,'Exemple registre'!$B$11:$B$35,"&gt;="&amp;X$10,'Exemple registre'!$B$11:$B$35,"&lt;"&amp;EDATE(X$10,1)),IF(AND($K15&lt;&gt;"",$K15&gt;=X$10,$K15&lt;EDATE(X$10,1)),"prévu","")))</f>
        <v/>
      </c>
    </row>
    <row r="16" customFormat="false" ht="45" hidden="false" customHeight="true" outlineLevel="0" collapsed="false">
      <c r="A16" s="20" t="n">
        <v>6</v>
      </c>
      <c r="B16" s="21" t="s">
        <v>68</v>
      </c>
      <c r="C16" s="21" t="s">
        <v>200</v>
      </c>
      <c r="D16" s="21" t="s">
        <v>70</v>
      </c>
      <c r="E16" s="21" t="s">
        <v>201</v>
      </c>
      <c r="F16" s="21" t="s">
        <v>192</v>
      </c>
      <c r="G16" s="22" t="n">
        <f aca="false">IF(F16="","",IFERROR(IF(INDEX(Listes!$D$4:$D$10,MATCH(F16,Listes!$C$4:$C$10,0))="","",INDEX(Listes!$D$4:$D$10,MATCH(F16,Listes!$C$4:$C$10,0))),""))</f>
        <v>91</v>
      </c>
      <c r="H16" s="21" t="s">
        <v>190</v>
      </c>
      <c r="I16" s="23" t="n">
        <v>46283</v>
      </c>
      <c r="J16" s="24" t="n">
        <f aca="false">IF($C16="","",IFERROR(IF(SUMPRODUCT(MAX(('Exemple registre'!$C$11:$C$35=$A16)*'Exemple registre'!$B$11:$B$35))=0,"",SUMPRODUCT(MAX(('Exemple registre'!$C$11:$C$35=$A16)*'Exemple registre'!$B$11:$B$35))),""))</f>
        <v>46283</v>
      </c>
      <c r="K16" s="24" t="n">
        <f aca="false">IF(OR($C16="",G16=""),"",IF(J16&lt;&gt;"",J16+G16,IF(I16&lt;&gt;"",I16,"")))</f>
        <v>46374</v>
      </c>
      <c r="L16" s="25" t="str">
        <f aca="false">IF($C16="","",IF($F16="","Fréquence à choisir",IF(G16="","Au fil de l’eau",IF(K16="","Premier passage à planifier",IF(K16&lt;$D$4,"En retard",IF(K16&lt;=$D$4+$D$6,"Passage proche","À jour"))))))</f>
        <v>À jour</v>
      </c>
      <c r="M16" s="25" t="str">
        <f aca="false">IF($C16="","",IF(COUNTIFS('Exemple registre'!$C$11:$C$35,$A16,'Exemple registre'!$B$11:$B$35,"&gt;="&amp;M$10,'Exemple registre'!$B$11:$B$35,"&lt;"&amp;EDATE(M$10,1))&gt;0,COUNTIFS('Exemple registre'!$C$11:$C$35,$A16,'Exemple registre'!$B$11:$B$35,"&gt;="&amp;M$10,'Exemple registre'!$B$11:$B$35,"&lt;"&amp;EDATE(M$10,1)),IF(AND($K16&lt;&gt;"",$K16&gt;=M$10,$K16&lt;EDATE(M$10,1)),"prévu","")))</f>
        <v/>
      </c>
      <c r="N16" s="25" t="str">
        <f aca="false">IF($C16="","",IF(COUNTIFS('Exemple registre'!$C$11:$C$35,$A16,'Exemple registre'!$B$11:$B$35,"&gt;="&amp;N$10,'Exemple registre'!$B$11:$B$35,"&lt;"&amp;EDATE(N$10,1))&gt;0,COUNTIFS('Exemple registre'!$C$11:$C$35,$A16,'Exemple registre'!$B$11:$B$35,"&gt;="&amp;N$10,'Exemple registre'!$B$11:$B$35,"&lt;"&amp;EDATE(N$10,1)),IF(AND($K16&lt;&gt;"",$K16&gt;=N$10,$K16&lt;EDATE(N$10,1)),"prévu","")))</f>
        <v/>
      </c>
      <c r="O16" s="25" t="str">
        <f aca="false">IF($C16="","",IF(COUNTIFS('Exemple registre'!$C$11:$C$35,$A16,'Exemple registre'!$B$11:$B$35,"&gt;="&amp;O$10,'Exemple registre'!$B$11:$B$35,"&lt;"&amp;EDATE(O$10,1))&gt;0,COUNTIFS('Exemple registre'!$C$11:$C$35,$A16,'Exemple registre'!$B$11:$B$35,"&gt;="&amp;O$10,'Exemple registre'!$B$11:$B$35,"&lt;"&amp;EDATE(O$10,1)),IF(AND($K16&lt;&gt;"",$K16&gt;=O$10,$K16&lt;EDATE(O$10,1)),"prévu","")))</f>
        <v/>
      </c>
      <c r="P16" s="25" t="str">
        <f aca="false">IF($C16="","",IF(COUNTIFS('Exemple registre'!$C$11:$C$35,$A16,'Exemple registre'!$B$11:$B$35,"&gt;="&amp;P$10,'Exemple registre'!$B$11:$B$35,"&lt;"&amp;EDATE(P$10,1))&gt;0,COUNTIFS('Exemple registre'!$C$11:$C$35,$A16,'Exemple registre'!$B$11:$B$35,"&gt;="&amp;P$10,'Exemple registre'!$B$11:$B$35,"&lt;"&amp;EDATE(P$10,1)),IF(AND($K16&lt;&gt;"",$K16&gt;=P$10,$K16&lt;EDATE(P$10,1)),"prévu","")))</f>
        <v/>
      </c>
      <c r="Q16" s="25" t="str">
        <f aca="false">IF($C16="","",IF(COUNTIFS('Exemple registre'!$C$11:$C$35,$A16,'Exemple registre'!$B$11:$B$35,"&gt;="&amp;Q$10,'Exemple registre'!$B$11:$B$35,"&lt;"&amp;EDATE(Q$10,1))&gt;0,COUNTIFS('Exemple registre'!$C$11:$C$35,$A16,'Exemple registre'!$B$11:$B$35,"&gt;="&amp;Q$10,'Exemple registre'!$B$11:$B$35,"&lt;"&amp;EDATE(Q$10,1)),IF(AND($K16&lt;&gt;"",$K16&gt;=Q$10,$K16&lt;EDATE(Q$10,1)),"prévu","")))</f>
        <v/>
      </c>
      <c r="R16" s="25" t="str">
        <f aca="false">IF($C16="","",IF(COUNTIFS('Exemple registre'!$C$11:$C$35,$A16,'Exemple registre'!$B$11:$B$35,"&gt;="&amp;R$10,'Exemple registre'!$B$11:$B$35,"&lt;"&amp;EDATE(R$10,1))&gt;0,COUNTIFS('Exemple registre'!$C$11:$C$35,$A16,'Exemple registre'!$B$11:$B$35,"&gt;="&amp;R$10,'Exemple registre'!$B$11:$B$35,"&lt;"&amp;EDATE(R$10,1)),IF(AND($K16&lt;&gt;"",$K16&gt;=R$10,$K16&lt;EDATE(R$10,1)),"prévu","")))</f>
        <v/>
      </c>
      <c r="S16" s="25" t="n">
        <f aca="false">IF($C16="","",IF(COUNTIFS('Exemple registre'!$C$11:$C$35,$A16,'Exemple registre'!$B$11:$B$35,"&gt;="&amp;S$10,'Exemple registre'!$B$11:$B$35,"&lt;"&amp;EDATE(S$10,1))&gt;0,COUNTIFS('Exemple registre'!$C$11:$C$35,$A16,'Exemple registre'!$B$11:$B$35,"&gt;="&amp;S$10,'Exemple registre'!$B$11:$B$35,"&lt;"&amp;EDATE(S$10,1)),IF(AND($K16&lt;&gt;"",$K16&gt;=S$10,$K16&lt;EDATE(S$10,1)),"prévu","")))</f>
        <v>1</v>
      </c>
      <c r="T16" s="25" t="str">
        <f aca="false">IF($C16="","",IF(COUNTIFS('Exemple registre'!$C$11:$C$35,$A16,'Exemple registre'!$B$11:$B$35,"&gt;="&amp;T$10,'Exemple registre'!$B$11:$B$35,"&lt;"&amp;EDATE(T$10,1))&gt;0,COUNTIFS('Exemple registre'!$C$11:$C$35,$A16,'Exemple registre'!$B$11:$B$35,"&gt;="&amp;T$10,'Exemple registre'!$B$11:$B$35,"&lt;"&amp;EDATE(T$10,1)),IF(AND($K16&lt;&gt;"",$K16&gt;=T$10,$K16&lt;EDATE(T$10,1)),"prévu","")))</f>
        <v/>
      </c>
      <c r="U16" s="25" t="str">
        <f aca="false">IF($C16="","",IF(COUNTIFS('Exemple registre'!$C$11:$C$35,$A16,'Exemple registre'!$B$11:$B$35,"&gt;="&amp;U$10,'Exemple registre'!$B$11:$B$35,"&lt;"&amp;EDATE(U$10,1))&gt;0,COUNTIFS('Exemple registre'!$C$11:$C$35,$A16,'Exemple registre'!$B$11:$B$35,"&gt;="&amp;U$10,'Exemple registre'!$B$11:$B$35,"&lt;"&amp;EDATE(U$10,1)),IF(AND($K16&lt;&gt;"",$K16&gt;=U$10,$K16&lt;EDATE(U$10,1)),"prévu","")))</f>
        <v/>
      </c>
      <c r="V16" s="25" t="str">
        <f aca="false">IF($C16="","",IF(COUNTIFS('Exemple registre'!$C$11:$C$35,$A16,'Exemple registre'!$B$11:$B$35,"&gt;="&amp;V$10,'Exemple registre'!$B$11:$B$35,"&lt;"&amp;EDATE(V$10,1))&gt;0,COUNTIFS('Exemple registre'!$C$11:$C$35,$A16,'Exemple registre'!$B$11:$B$35,"&gt;="&amp;V$10,'Exemple registre'!$B$11:$B$35,"&lt;"&amp;EDATE(V$10,1)),IF(AND($K16&lt;&gt;"",$K16&gt;=V$10,$K16&lt;EDATE(V$10,1)),"prévu","")))</f>
        <v>prévu</v>
      </c>
      <c r="W16" s="25" t="str">
        <f aca="false">IF($C16="","",IF(COUNTIFS('Exemple registre'!$C$11:$C$35,$A16,'Exemple registre'!$B$11:$B$35,"&gt;="&amp;W$10,'Exemple registre'!$B$11:$B$35,"&lt;"&amp;EDATE(W$10,1))&gt;0,COUNTIFS('Exemple registre'!$C$11:$C$35,$A16,'Exemple registre'!$B$11:$B$35,"&gt;="&amp;W$10,'Exemple registre'!$B$11:$B$35,"&lt;"&amp;EDATE(W$10,1)),IF(AND($K16&lt;&gt;"",$K16&gt;=W$10,$K16&lt;EDATE(W$10,1)),"prévu","")))</f>
        <v/>
      </c>
      <c r="X16" s="25" t="str">
        <f aca="false">IF($C16="","",IF(COUNTIFS('Exemple registre'!$C$11:$C$35,$A16,'Exemple registre'!$B$11:$B$35,"&gt;="&amp;X$10,'Exemple registre'!$B$11:$B$35,"&lt;"&amp;EDATE(X$10,1))&gt;0,COUNTIFS('Exemple registre'!$C$11:$C$35,$A16,'Exemple registre'!$B$11:$B$35,"&gt;="&amp;X$10,'Exemple registre'!$B$11:$B$35,"&lt;"&amp;EDATE(X$10,1)),IF(AND($K16&lt;&gt;"",$K16&gt;=X$10,$K16&lt;EDATE(X$10,1)),"prévu","")))</f>
        <v/>
      </c>
    </row>
    <row r="17" customFormat="false" ht="45" hidden="false" customHeight="true" outlineLevel="0" collapsed="false">
      <c r="A17" s="20" t="n">
        <v>7</v>
      </c>
      <c r="B17" s="21" t="s">
        <v>68</v>
      </c>
      <c r="C17" s="21" t="s">
        <v>202</v>
      </c>
      <c r="D17" s="21" t="s">
        <v>73</v>
      </c>
      <c r="E17" s="21" t="s">
        <v>203</v>
      </c>
      <c r="F17" s="21" t="s">
        <v>189</v>
      </c>
      <c r="G17" s="22" t="n">
        <f aca="false">IF(F17="","",IFERROR(IF(INDEX(Listes!$D$4:$D$10,MATCH(F17,Listes!$C$4:$C$10,0))="","",INDEX(Listes!$D$4:$D$10,MATCH(F17,Listes!$C$4:$C$10,0))),""))</f>
        <v>30</v>
      </c>
      <c r="H17" s="21" t="s">
        <v>191</v>
      </c>
      <c r="I17" s="23" t="n">
        <v>46209</v>
      </c>
      <c r="J17" s="24" t="n">
        <f aca="false">IF($C17="","",IFERROR(IF(SUMPRODUCT(MAX(('Exemple registre'!$C$11:$C$35=$A17)*'Exemple registre'!$B$11:$B$35))=0,"",SUMPRODUCT(MAX(('Exemple registre'!$C$11:$C$35=$A17)*'Exemple registre'!$B$11:$B$35))),""))</f>
        <v>46301</v>
      </c>
      <c r="K17" s="24" t="n">
        <f aca="false">IF(OR($C17="",G17=""),"",IF(J17&lt;&gt;"",J17+G17,IF(I17&lt;&gt;"",I17,"")))</f>
        <v>46331</v>
      </c>
      <c r="L17" s="25" t="str">
        <f aca="false">IF($C17="","",IF($F17="","Fréquence à choisir",IF(G17="","Au fil de l’eau",IF(K17="","Premier passage à planifier",IF(K17&lt;$D$4,"En retard",IF(K17&lt;=$D$4+$D$6,"Passage proche","À jour"))))))</f>
        <v>Passage proche</v>
      </c>
      <c r="M17" s="25" t="str">
        <f aca="false">IF($C17="","",IF(COUNTIFS('Exemple registre'!$C$11:$C$35,$A17,'Exemple registre'!$B$11:$B$35,"&gt;="&amp;M$10,'Exemple registre'!$B$11:$B$35,"&lt;"&amp;EDATE(M$10,1))&gt;0,COUNTIFS('Exemple registre'!$C$11:$C$35,$A17,'Exemple registre'!$B$11:$B$35,"&gt;="&amp;M$10,'Exemple registre'!$B$11:$B$35,"&lt;"&amp;EDATE(M$10,1)),IF(AND($K17&lt;&gt;"",$K17&gt;=M$10,$K17&lt;EDATE(M$10,1)),"prévu","")))</f>
        <v/>
      </c>
      <c r="N17" s="25" t="str">
        <f aca="false">IF($C17="","",IF(COUNTIFS('Exemple registre'!$C$11:$C$35,$A17,'Exemple registre'!$B$11:$B$35,"&gt;="&amp;N$10,'Exemple registre'!$B$11:$B$35,"&lt;"&amp;EDATE(N$10,1))&gt;0,COUNTIFS('Exemple registre'!$C$11:$C$35,$A17,'Exemple registre'!$B$11:$B$35,"&gt;="&amp;N$10,'Exemple registre'!$B$11:$B$35,"&lt;"&amp;EDATE(N$10,1)),IF(AND($K17&lt;&gt;"",$K17&gt;=N$10,$K17&lt;EDATE(N$10,1)),"prévu","")))</f>
        <v/>
      </c>
      <c r="O17" s="25" t="str">
        <f aca="false">IF($C17="","",IF(COUNTIFS('Exemple registre'!$C$11:$C$35,$A17,'Exemple registre'!$B$11:$B$35,"&gt;="&amp;O$10,'Exemple registre'!$B$11:$B$35,"&lt;"&amp;EDATE(O$10,1))&gt;0,COUNTIFS('Exemple registre'!$C$11:$C$35,$A17,'Exemple registre'!$B$11:$B$35,"&gt;="&amp;O$10,'Exemple registre'!$B$11:$B$35,"&lt;"&amp;EDATE(O$10,1)),IF(AND($K17&lt;&gt;"",$K17&gt;=O$10,$K17&lt;EDATE(O$10,1)),"prévu","")))</f>
        <v/>
      </c>
      <c r="P17" s="25" t="str">
        <f aca="false">IF($C17="","",IF(COUNTIFS('Exemple registre'!$C$11:$C$35,$A17,'Exemple registre'!$B$11:$B$35,"&gt;="&amp;P$10,'Exemple registre'!$B$11:$B$35,"&lt;"&amp;EDATE(P$10,1))&gt;0,COUNTIFS('Exemple registre'!$C$11:$C$35,$A17,'Exemple registre'!$B$11:$B$35,"&gt;="&amp;P$10,'Exemple registre'!$B$11:$B$35,"&lt;"&amp;EDATE(P$10,1)),IF(AND($K17&lt;&gt;"",$K17&gt;=P$10,$K17&lt;EDATE(P$10,1)),"prévu","")))</f>
        <v/>
      </c>
      <c r="Q17" s="25" t="n">
        <f aca="false">IF($C17="","",IF(COUNTIFS('Exemple registre'!$C$11:$C$35,$A17,'Exemple registre'!$B$11:$B$35,"&gt;="&amp;Q$10,'Exemple registre'!$B$11:$B$35,"&lt;"&amp;EDATE(Q$10,1))&gt;0,COUNTIFS('Exemple registre'!$C$11:$C$35,$A17,'Exemple registre'!$B$11:$B$35,"&gt;="&amp;Q$10,'Exemple registre'!$B$11:$B$35,"&lt;"&amp;EDATE(Q$10,1)),IF(AND($K17&lt;&gt;"",$K17&gt;=Q$10,$K17&lt;EDATE(Q$10,1)),"prévu","")))</f>
        <v>1</v>
      </c>
      <c r="R17" s="25" t="n">
        <f aca="false">IF($C17="","",IF(COUNTIFS('Exemple registre'!$C$11:$C$35,$A17,'Exemple registre'!$B$11:$B$35,"&gt;="&amp;R$10,'Exemple registre'!$B$11:$B$35,"&lt;"&amp;EDATE(R$10,1))&gt;0,COUNTIFS('Exemple registre'!$C$11:$C$35,$A17,'Exemple registre'!$B$11:$B$35,"&gt;="&amp;R$10,'Exemple registre'!$B$11:$B$35,"&lt;"&amp;EDATE(R$10,1)),IF(AND($K17&lt;&gt;"",$K17&gt;=R$10,$K17&lt;EDATE(R$10,1)),"prévu","")))</f>
        <v>1</v>
      </c>
      <c r="S17" s="25" t="n">
        <f aca="false">IF($C17="","",IF(COUNTIFS('Exemple registre'!$C$11:$C$35,$A17,'Exemple registre'!$B$11:$B$35,"&gt;="&amp;S$10,'Exemple registre'!$B$11:$B$35,"&lt;"&amp;EDATE(S$10,1))&gt;0,COUNTIFS('Exemple registre'!$C$11:$C$35,$A17,'Exemple registre'!$B$11:$B$35,"&gt;="&amp;S$10,'Exemple registre'!$B$11:$B$35,"&lt;"&amp;EDATE(S$10,1)),IF(AND($K17&lt;&gt;"",$K17&gt;=S$10,$K17&lt;EDATE(S$10,1)),"prévu","")))</f>
        <v>1</v>
      </c>
      <c r="T17" s="25" t="n">
        <f aca="false">IF($C17="","",IF(COUNTIFS('Exemple registre'!$C$11:$C$35,$A17,'Exemple registre'!$B$11:$B$35,"&gt;="&amp;T$10,'Exemple registre'!$B$11:$B$35,"&lt;"&amp;EDATE(T$10,1))&gt;0,COUNTIFS('Exemple registre'!$C$11:$C$35,$A17,'Exemple registre'!$B$11:$B$35,"&gt;="&amp;T$10,'Exemple registre'!$B$11:$B$35,"&lt;"&amp;EDATE(T$10,1)),IF(AND($K17&lt;&gt;"",$K17&gt;=T$10,$K17&lt;EDATE(T$10,1)),"prévu","")))</f>
        <v>1</v>
      </c>
      <c r="U17" s="25" t="str">
        <f aca="false">IF($C17="","",IF(COUNTIFS('Exemple registre'!$C$11:$C$35,$A17,'Exemple registre'!$B$11:$B$35,"&gt;="&amp;U$10,'Exemple registre'!$B$11:$B$35,"&lt;"&amp;EDATE(U$10,1))&gt;0,COUNTIFS('Exemple registre'!$C$11:$C$35,$A17,'Exemple registre'!$B$11:$B$35,"&gt;="&amp;U$10,'Exemple registre'!$B$11:$B$35,"&lt;"&amp;EDATE(U$10,1)),IF(AND($K17&lt;&gt;"",$K17&gt;=U$10,$K17&lt;EDATE(U$10,1)),"prévu","")))</f>
        <v>prévu</v>
      </c>
      <c r="V17" s="25" t="str">
        <f aca="false">IF($C17="","",IF(COUNTIFS('Exemple registre'!$C$11:$C$35,$A17,'Exemple registre'!$B$11:$B$35,"&gt;="&amp;V$10,'Exemple registre'!$B$11:$B$35,"&lt;"&amp;EDATE(V$10,1))&gt;0,COUNTIFS('Exemple registre'!$C$11:$C$35,$A17,'Exemple registre'!$B$11:$B$35,"&gt;="&amp;V$10,'Exemple registre'!$B$11:$B$35,"&lt;"&amp;EDATE(V$10,1)),IF(AND($K17&lt;&gt;"",$K17&gt;=V$10,$K17&lt;EDATE(V$10,1)),"prévu","")))</f>
        <v/>
      </c>
      <c r="W17" s="25" t="str">
        <f aca="false">IF($C17="","",IF(COUNTIFS('Exemple registre'!$C$11:$C$35,$A17,'Exemple registre'!$B$11:$B$35,"&gt;="&amp;W$10,'Exemple registre'!$B$11:$B$35,"&lt;"&amp;EDATE(W$10,1))&gt;0,COUNTIFS('Exemple registre'!$C$11:$C$35,$A17,'Exemple registre'!$B$11:$B$35,"&gt;="&amp;W$10,'Exemple registre'!$B$11:$B$35,"&lt;"&amp;EDATE(W$10,1)),IF(AND($K17&lt;&gt;"",$K17&gt;=W$10,$K17&lt;EDATE(W$10,1)),"prévu","")))</f>
        <v/>
      </c>
      <c r="X17" s="25" t="str">
        <f aca="false">IF($C17="","",IF(COUNTIFS('Exemple registre'!$C$11:$C$35,$A17,'Exemple registre'!$B$11:$B$35,"&gt;="&amp;X$10,'Exemple registre'!$B$11:$B$35,"&lt;"&amp;EDATE(X$10,1))&gt;0,COUNTIFS('Exemple registre'!$C$11:$C$35,$A17,'Exemple registre'!$B$11:$B$35,"&gt;="&amp;X$10,'Exemple registre'!$B$11:$B$35,"&lt;"&amp;EDATE(X$10,1)),IF(AND($K17&lt;&gt;"",$K17&gt;=X$10,$K17&lt;EDATE(X$10,1)),"prévu","")))</f>
        <v/>
      </c>
    </row>
    <row r="18" customFormat="false" ht="45" hidden="false" customHeight="true" outlineLevel="0" collapsed="false">
      <c r="A18" s="20" t="n">
        <v>8</v>
      </c>
      <c r="B18" s="21" t="s">
        <v>68</v>
      </c>
      <c r="C18" s="21" t="s">
        <v>204</v>
      </c>
      <c r="D18" s="21" t="s">
        <v>61</v>
      </c>
      <c r="E18" s="21" t="s">
        <v>205</v>
      </c>
      <c r="F18" s="21" t="s">
        <v>206</v>
      </c>
      <c r="G18" s="22" t="n">
        <f aca="false">IF(F18="","",IFERROR(IF(INDEX(Listes!$D$4:$D$10,MATCH(F18,Listes!$C$4:$C$10,0))="","",INDEX(Listes!$D$4:$D$10,MATCH(F18,Listes!$C$4:$C$10,0))),""))</f>
        <v>182</v>
      </c>
      <c r="H18" s="21" t="s">
        <v>191</v>
      </c>
      <c r="I18" s="23" t="n">
        <v>46183</v>
      </c>
      <c r="J18" s="24" t="n">
        <f aca="false">IF($C18="","",IFERROR(IF(SUMPRODUCT(MAX(('Exemple registre'!$C$11:$C$35=$A18)*'Exemple registre'!$B$11:$B$35))=0,"",SUMPRODUCT(MAX(('Exemple registre'!$C$11:$C$35=$A18)*'Exemple registre'!$B$11:$B$35))),""))</f>
        <v>46183</v>
      </c>
      <c r="K18" s="24" t="n">
        <f aca="false">IF(OR($C18="",G18=""),"",IF(J18&lt;&gt;"",J18+G18,IF(I18&lt;&gt;"",I18,"")))</f>
        <v>46365</v>
      </c>
      <c r="L18" s="25" t="str">
        <f aca="false">IF($C18="","",IF($F18="","Fréquence à choisir",IF(G18="","Au fil de l’eau",IF(K18="","Premier passage à planifier",IF(K18&lt;$D$4,"En retard",IF(K18&lt;=$D$4+$D$6,"Passage proche","À jour"))))))</f>
        <v>À jour</v>
      </c>
      <c r="M18" s="25" t="str">
        <f aca="false">IF($C18="","",IF(COUNTIFS('Exemple registre'!$C$11:$C$35,$A18,'Exemple registre'!$B$11:$B$35,"&gt;="&amp;M$10,'Exemple registre'!$B$11:$B$35,"&lt;"&amp;EDATE(M$10,1))&gt;0,COUNTIFS('Exemple registre'!$C$11:$C$35,$A18,'Exemple registre'!$B$11:$B$35,"&gt;="&amp;M$10,'Exemple registre'!$B$11:$B$35,"&lt;"&amp;EDATE(M$10,1)),IF(AND($K18&lt;&gt;"",$K18&gt;=M$10,$K18&lt;EDATE(M$10,1)),"prévu","")))</f>
        <v/>
      </c>
      <c r="N18" s="25" t="str">
        <f aca="false">IF($C18="","",IF(COUNTIFS('Exemple registre'!$C$11:$C$35,$A18,'Exemple registre'!$B$11:$B$35,"&gt;="&amp;N$10,'Exemple registre'!$B$11:$B$35,"&lt;"&amp;EDATE(N$10,1))&gt;0,COUNTIFS('Exemple registre'!$C$11:$C$35,$A18,'Exemple registre'!$B$11:$B$35,"&gt;="&amp;N$10,'Exemple registre'!$B$11:$B$35,"&lt;"&amp;EDATE(N$10,1)),IF(AND($K18&lt;&gt;"",$K18&gt;=N$10,$K18&lt;EDATE(N$10,1)),"prévu","")))</f>
        <v/>
      </c>
      <c r="O18" s="25" t="str">
        <f aca="false">IF($C18="","",IF(COUNTIFS('Exemple registre'!$C$11:$C$35,$A18,'Exemple registre'!$B$11:$B$35,"&gt;="&amp;O$10,'Exemple registre'!$B$11:$B$35,"&lt;"&amp;EDATE(O$10,1))&gt;0,COUNTIFS('Exemple registre'!$C$11:$C$35,$A18,'Exemple registre'!$B$11:$B$35,"&gt;="&amp;O$10,'Exemple registre'!$B$11:$B$35,"&lt;"&amp;EDATE(O$10,1)),IF(AND($K18&lt;&gt;"",$K18&gt;=O$10,$K18&lt;EDATE(O$10,1)),"prévu","")))</f>
        <v/>
      </c>
      <c r="P18" s="25" t="n">
        <f aca="false">IF($C18="","",IF(COUNTIFS('Exemple registre'!$C$11:$C$35,$A18,'Exemple registre'!$B$11:$B$35,"&gt;="&amp;P$10,'Exemple registre'!$B$11:$B$35,"&lt;"&amp;EDATE(P$10,1))&gt;0,COUNTIFS('Exemple registre'!$C$11:$C$35,$A18,'Exemple registre'!$B$11:$B$35,"&gt;="&amp;P$10,'Exemple registre'!$B$11:$B$35,"&lt;"&amp;EDATE(P$10,1)),IF(AND($K18&lt;&gt;"",$K18&gt;=P$10,$K18&lt;EDATE(P$10,1)),"prévu","")))</f>
        <v>1</v>
      </c>
      <c r="Q18" s="25" t="str">
        <f aca="false">IF($C18="","",IF(COUNTIFS('Exemple registre'!$C$11:$C$35,$A18,'Exemple registre'!$B$11:$B$35,"&gt;="&amp;Q$10,'Exemple registre'!$B$11:$B$35,"&lt;"&amp;EDATE(Q$10,1))&gt;0,COUNTIFS('Exemple registre'!$C$11:$C$35,$A18,'Exemple registre'!$B$11:$B$35,"&gt;="&amp;Q$10,'Exemple registre'!$B$11:$B$35,"&lt;"&amp;EDATE(Q$10,1)),IF(AND($K18&lt;&gt;"",$K18&gt;=Q$10,$K18&lt;EDATE(Q$10,1)),"prévu","")))</f>
        <v/>
      </c>
      <c r="R18" s="25" t="str">
        <f aca="false">IF($C18="","",IF(COUNTIFS('Exemple registre'!$C$11:$C$35,$A18,'Exemple registre'!$B$11:$B$35,"&gt;="&amp;R$10,'Exemple registre'!$B$11:$B$35,"&lt;"&amp;EDATE(R$10,1))&gt;0,COUNTIFS('Exemple registre'!$C$11:$C$35,$A18,'Exemple registre'!$B$11:$B$35,"&gt;="&amp;R$10,'Exemple registre'!$B$11:$B$35,"&lt;"&amp;EDATE(R$10,1)),IF(AND($K18&lt;&gt;"",$K18&gt;=R$10,$K18&lt;EDATE(R$10,1)),"prévu","")))</f>
        <v/>
      </c>
      <c r="S18" s="25" t="str">
        <f aca="false">IF($C18="","",IF(COUNTIFS('Exemple registre'!$C$11:$C$35,$A18,'Exemple registre'!$B$11:$B$35,"&gt;="&amp;S$10,'Exemple registre'!$B$11:$B$35,"&lt;"&amp;EDATE(S$10,1))&gt;0,COUNTIFS('Exemple registre'!$C$11:$C$35,$A18,'Exemple registre'!$B$11:$B$35,"&gt;="&amp;S$10,'Exemple registre'!$B$11:$B$35,"&lt;"&amp;EDATE(S$10,1)),IF(AND($K18&lt;&gt;"",$K18&gt;=S$10,$K18&lt;EDATE(S$10,1)),"prévu","")))</f>
        <v/>
      </c>
      <c r="T18" s="25" t="str">
        <f aca="false">IF($C18="","",IF(COUNTIFS('Exemple registre'!$C$11:$C$35,$A18,'Exemple registre'!$B$11:$B$35,"&gt;="&amp;T$10,'Exemple registre'!$B$11:$B$35,"&lt;"&amp;EDATE(T$10,1))&gt;0,COUNTIFS('Exemple registre'!$C$11:$C$35,$A18,'Exemple registre'!$B$11:$B$35,"&gt;="&amp;T$10,'Exemple registre'!$B$11:$B$35,"&lt;"&amp;EDATE(T$10,1)),IF(AND($K18&lt;&gt;"",$K18&gt;=T$10,$K18&lt;EDATE(T$10,1)),"prévu","")))</f>
        <v/>
      </c>
      <c r="U18" s="25" t="str">
        <f aca="false">IF($C18="","",IF(COUNTIFS('Exemple registre'!$C$11:$C$35,$A18,'Exemple registre'!$B$11:$B$35,"&gt;="&amp;U$10,'Exemple registre'!$B$11:$B$35,"&lt;"&amp;EDATE(U$10,1))&gt;0,COUNTIFS('Exemple registre'!$C$11:$C$35,$A18,'Exemple registre'!$B$11:$B$35,"&gt;="&amp;U$10,'Exemple registre'!$B$11:$B$35,"&lt;"&amp;EDATE(U$10,1)),IF(AND($K18&lt;&gt;"",$K18&gt;=U$10,$K18&lt;EDATE(U$10,1)),"prévu","")))</f>
        <v/>
      </c>
      <c r="V18" s="25" t="str">
        <f aca="false">IF($C18="","",IF(COUNTIFS('Exemple registre'!$C$11:$C$35,$A18,'Exemple registre'!$B$11:$B$35,"&gt;="&amp;V$10,'Exemple registre'!$B$11:$B$35,"&lt;"&amp;EDATE(V$10,1))&gt;0,COUNTIFS('Exemple registre'!$C$11:$C$35,$A18,'Exemple registre'!$B$11:$B$35,"&gt;="&amp;V$10,'Exemple registre'!$B$11:$B$35,"&lt;"&amp;EDATE(V$10,1)),IF(AND($K18&lt;&gt;"",$K18&gt;=V$10,$K18&lt;EDATE(V$10,1)),"prévu","")))</f>
        <v>prévu</v>
      </c>
      <c r="W18" s="25" t="str">
        <f aca="false">IF($C18="","",IF(COUNTIFS('Exemple registre'!$C$11:$C$35,$A18,'Exemple registre'!$B$11:$B$35,"&gt;="&amp;W$10,'Exemple registre'!$B$11:$B$35,"&lt;"&amp;EDATE(W$10,1))&gt;0,COUNTIFS('Exemple registre'!$C$11:$C$35,$A18,'Exemple registre'!$B$11:$B$35,"&gt;="&amp;W$10,'Exemple registre'!$B$11:$B$35,"&lt;"&amp;EDATE(W$10,1)),IF(AND($K18&lt;&gt;"",$K18&gt;=W$10,$K18&lt;EDATE(W$10,1)),"prévu","")))</f>
        <v/>
      </c>
      <c r="X18" s="25" t="str">
        <f aca="false">IF($C18="","",IF(COUNTIFS('Exemple registre'!$C$11:$C$35,$A18,'Exemple registre'!$B$11:$B$35,"&gt;="&amp;X$10,'Exemple registre'!$B$11:$B$35,"&lt;"&amp;EDATE(X$10,1))&gt;0,COUNTIFS('Exemple registre'!$C$11:$C$35,$A18,'Exemple registre'!$B$11:$B$35,"&gt;="&amp;X$10,'Exemple registre'!$B$11:$B$35,"&lt;"&amp;EDATE(X$10,1)),IF(AND($K18&lt;&gt;"",$K18&gt;=X$10,$K18&lt;EDATE(X$10,1)),"prévu","")))</f>
        <v/>
      </c>
    </row>
    <row r="19" customFormat="false" ht="45" hidden="false" customHeight="true" outlineLevel="0" collapsed="false">
      <c r="A19" s="20" t="n">
        <v>9</v>
      </c>
      <c r="B19" s="21" t="s">
        <v>68</v>
      </c>
      <c r="C19" s="21" t="s">
        <v>207</v>
      </c>
      <c r="D19" s="21" t="s">
        <v>76</v>
      </c>
      <c r="E19" s="21" t="s">
        <v>208</v>
      </c>
      <c r="F19" s="21" t="s">
        <v>209</v>
      </c>
      <c r="G19" s="22" t="n">
        <f aca="false">IF(F19="","",IFERROR(IF(INDEX(Listes!$D$4:$D$10,MATCH(F19,Listes!$C$4:$C$10,0))="","",INDEX(Listes!$D$4:$D$10,MATCH(F19,Listes!$C$4:$C$10,0))),""))</f>
        <v>365</v>
      </c>
      <c r="H19" s="21" t="s">
        <v>190</v>
      </c>
      <c r="I19" s="23" t="n">
        <v>46280</v>
      </c>
      <c r="J19" s="24" t="str">
        <f aca="false">IF($C19="","",IFERROR(IF(SUMPRODUCT(MAX(('Exemple registre'!$C$11:$C$35=$A19)*'Exemple registre'!$B$11:$B$35))=0,"",SUMPRODUCT(MAX(('Exemple registre'!$C$11:$C$35=$A19)*'Exemple registre'!$B$11:$B$35))),""))</f>
        <v/>
      </c>
      <c r="K19" s="24" t="n">
        <f aca="false">IF(OR($C19="",G19=""),"",IF(J19&lt;&gt;"",J19+G19,IF(I19&lt;&gt;"",I19,"")))</f>
        <v>46280</v>
      </c>
      <c r="L19" s="25" t="str">
        <f aca="false">IF($C19="","",IF($F19="","Fréquence à choisir",IF(G19="","Au fil de l’eau",IF(K19="","Premier passage à planifier",IF(K19&lt;$D$4,"En retard",IF(K19&lt;=$D$4+$D$6,"Passage proche","À jour"))))))</f>
        <v>En retard</v>
      </c>
      <c r="M19" s="25" t="str">
        <f aca="false">IF($C19="","",IF(COUNTIFS('Exemple registre'!$C$11:$C$35,$A19,'Exemple registre'!$B$11:$B$35,"&gt;="&amp;M$10,'Exemple registre'!$B$11:$B$35,"&lt;"&amp;EDATE(M$10,1))&gt;0,COUNTIFS('Exemple registre'!$C$11:$C$35,$A19,'Exemple registre'!$B$11:$B$35,"&gt;="&amp;M$10,'Exemple registre'!$B$11:$B$35,"&lt;"&amp;EDATE(M$10,1)),IF(AND($K19&lt;&gt;"",$K19&gt;=M$10,$K19&lt;EDATE(M$10,1)),"prévu","")))</f>
        <v/>
      </c>
      <c r="N19" s="25" t="str">
        <f aca="false">IF($C19="","",IF(COUNTIFS('Exemple registre'!$C$11:$C$35,$A19,'Exemple registre'!$B$11:$B$35,"&gt;="&amp;N$10,'Exemple registre'!$B$11:$B$35,"&lt;"&amp;EDATE(N$10,1))&gt;0,COUNTIFS('Exemple registre'!$C$11:$C$35,$A19,'Exemple registre'!$B$11:$B$35,"&gt;="&amp;N$10,'Exemple registre'!$B$11:$B$35,"&lt;"&amp;EDATE(N$10,1)),IF(AND($K19&lt;&gt;"",$K19&gt;=N$10,$K19&lt;EDATE(N$10,1)),"prévu","")))</f>
        <v/>
      </c>
      <c r="O19" s="25" t="str">
        <f aca="false">IF($C19="","",IF(COUNTIFS('Exemple registre'!$C$11:$C$35,$A19,'Exemple registre'!$B$11:$B$35,"&gt;="&amp;O$10,'Exemple registre'!$B$11:$B$35,"&lt;"&amp;EDATE(O$10,1))&gt;0,COUNTIFS('Exemple registre'!$C$11:$C$35,$A19,'Exemple registre'!$B$11:$B$35,"&gt;="&amp;O$10,'Exemple registre'!$B$11:$B$35,"&lt;"&amp;EDATE(O$10,1)),IF(AND($K19&lt;&gt;"",$K19&gt;=O$10,$K19&lt;EDATE(O$10,1)),"prévu","")))</f>
        <v/>
      </c>
      <c r="P19" s="25" t="str">
        <f aca="false">IF($C19="","",IF(COUNTIFS('Exemple registre'!$C$11:$C$35,$A19,'Exemple registre'!$B$11:$B$35,"&gt;="&amp;P$10,'Exemple registre'!$B$11:$B$35,"&lt;"&amp;EDATE(P$10,1))&gt;0,COUNTIFS('Exemple registre'!$C$11:$C$35,$A19,'Exemple registre'!$B$11:$B$35,"&gt;="&amp;P$10,'Exemple registre'!$B$11:$B$35,"&lt;"&amp;EDATE(P$10,1)),IF(AND($K19&lt;&gt;"",$K19&gt;=P$10,$K19&lt;EDATE(P$10,1)),"prévu","")))</f>
        <v/>
      </c>
      <c r="Q19" s="25" t="str">
        <f aca="false">IF($C19="","",IF(COUNTIFS('Exemple registre'!$C$11:$C$35,$A19,'Exemple registre'!$B$11:$B$35,"&gt;="&amp;Q$10,'Exemple registre'!$B$11:$B$35,"&lt;"&amp;EDATE(Q$10,1))&gt;0,COUNTIFS('Exemple registre'!$C$11:$C$35,$A19,'Exemple registre'!$B$11:$B$35,"&gt;="&amp;Q$10,'Exemple registre'!$B$11:$B$35,"&lt;"&amp;EDATE(Q$10,1)),IF(AND($K19&lt;&gt;"",$K19&gt;=Q$10,$K19&lt;EDATE(Q$10,1)),"prévu","")))</f>
        <v/>
      </c>
      <c r="R19" s="25" t="str">
        <f aca="false">IF($C19="","",IF(COUNTIFS('Exemple registre'!$C$11:$C$35,$A19,'Exemple registre'!$B$11:$B$35,"&gt;="&amp;R$10,'Exemple registre'!$B$11:$B$35,"&lt;"&amp;EDATE(R$10,1))&gt;0,COUNTIFS('Exemple registre'!$C$11:$C$35,$A19,'Exemple registre'!$B$11:$B$35,"&gt;="&amp;R$10,'Exemple registre'!$B$11:$B$35,"&lt;"&amp;EDATE(R$10,1)),IF(AND($K19&lt;&gt;"",$K19&gt;=R$10,$K19&lt;EDATE(R$10,1)),"prévu","")))</f>
        <v/>
      </c>
      <c r="S19" s="25" t="str">
        <f aca="false">IF($C19="","",IF(COUNTIFS('Exemple registre'!$C$11:$C$35,$A19,'Exemple registre'!$B$11:$B$35,"&gt;="&amp;S$10,'Exemple registre'!$B$11:$B$35,"&lt;"&amp;EDATE(S$10,1))&gt;0,COUNTIFS('Exemple registre'!$C$11:$C$35,$A19,'Exemple registre'!$B$11:$B$35,"&gt;="&amp;S$10,'Exemple registre'!$B$11:$B$35,"&lt;"&amp;EDATE(S$10,1)),IF(AND($K19&lt;&gt;"",$K19&gt;=S$10,$K19&lt;EDATE(S$10,1)),"prévu","")))</f>
        <v>prévu</v>
      </c>
      <c r="T19" s="25" t="str">
        <f aca="false">IF($C19="","",IF(COUNTIFS('Exemple registre'!$C$11:$C$35,$A19,'Exemple registre'!$B$11:$B$35,"&gt;="&amp;T$10,'Exemple registre'!$B$11:$B$35,"&lt;"&amp;EDATE(T$10,1))&gt;0,COUNTIFS('Exemple registre'!$C$11:$C$35,$A19,'Exemple registre'!$B$11:$B$35,"&gt;="&amp;T$10,'Exemple registre'!$B$11:$B$35,"&lt;"&amp;EDATE(T$10,1)),IF(AND($K19&lt;&gt;"",$K19&gt;=T$10,$K19&lt;EDATE(T$10,1)),"prévu","")))</f>
        <v/>
      </c>
      <c r="U19" s="25" t="str">
        <f aca="false">IF($C19="","",IF(COUNTIFS('Exemple registre'!$C$11:$C$35,$A19,'Exemple registre'!$B$11:$B$35,"&gt;="&amp;U$10,'Exemple registre'!$B$11:$B$35,"&lt;"&amp;EDATE(U$10,1))&gt;0,COUNTIFS('Exemple registre'!$C$11:$C$35,$A19,'Exemple registre'!$B$11:$B$35,"&gt;="&amp;U$10,'Exemple registre'!$B$11:$B$35,"&lt;"&amp;EDATE(U$10,1)),IF(AND($K19&lt;&gt;"",$K19&gt;=U$10,$K19&lt;EDATE(U$10,1)),"prévu","")))</f>
        <v/>
      </c>
      <c r="V19" s="25" t="str">
        <f aca="false">IF($C19="","",IF(COUNTIFS('Exemple registre'!$C$11:$C$35,$A19,'Exemple registre'!$B$11:$B$35,"&gt;="&amp;V$10,'Exemple registre'!$B$11:$B$35,"&lt;"&amp;EDATE(V$10,1))&gt;0,COUNTIFS('Exemple registre'!$C$11:$C$35,$A19,'Exemple registre'!$B$11:$B$35,"&gt;="&amp;V$10,'Exemple registre'!$B$11:$B$35,"&lt;"&amp;EDATE(V$10,1)),IF(AND($K19&lt;&gt;"",$K19&gt;=V$10,$K19&lt;EDATE(V$10,1)),"prévu","")))</f>
        <v/>
      </c>
      <c r="W19" s="25" t="str">
        <f aca="false">IF($C19="","",IF(COUNTIFS('Exemple registre'!$C$11:$C$35,$A19,'Exemple registre'!$B$11:$B$35,"&gt;="&amp;W$10,'Exemple registre'!$B$11:$B$35,"&lt;"&amp;EDATE(W$10,1))&gt;0,COUNTIFS('Exemple registre'!$C$11:$C$35,$A19,'Exemple registre'!$B$11:$B$35,"&gt;="&amp;W$10,'Exemple registre'!$B$11:$B$35,"&lt;"&amp;EDATE(W$10,1)),IF(AND($K19&lt;&gt;"",$K19&gt;=W$10,$K19&lt;EDATE(W$10,1)),"prévu","")))</f>
        <v/>
      </c>
      <c r="X19" s="25" t="str">
        <f aca="false">IF($C19="","",IF(COUNTIFS('Exemple registre'!$C$11:$C$35,$A19,'Exemple registre'!$B$11:$B$35,"&gt;="&amp;X$10,'Exemple registre'!$B$11:$B$35,"&lt;"&amp;EDATE(X$10,1))&gt;0,COUNTIFS('Exemple registre'!$C$11:$C$35,$A19,'Exemple registre'!$B$11:$B$35,"&gt;="&amp;X$10,'Exemple registre'!$B$11:$B$35,"&lt;"&amp;EDATE(X$10,1)),IF(AND($K19&lt;&gt;"",$K19&gt;=X$10,$K19&lt;EDATE(X$10,1)),"prévu","")))</f>
        <v/>
      </c>
    </row>
    <row r="20" customFormat="false" ht="45" hidden="false" customHeight="true" outlineLevel="0" collapsed="false">
      <c r="A20" s="20" t="n">
        <v>10</v>
      </c>
      <c r="B20" s="21" t="s">
        <v>78</v>
      </c>
      <c r="C20" s="21" t="s">
        <v>210</v>
      </c>
      <c r="D20" s="21" t="s">
        <v>79</v>
      </c>
      <c r="E20" s="21" t="s">
        <v>211</v>
      </c>
      <c r="F20" s="21" t="s">
        <v>209</v>
      </c>
      <c r="G20" s="22" t="n">
        <f aca="false">IF(F20="","",IFERROR(IF(INDEX(Listes!$D$4:$D$10,MATCH(F20,Listes!$C$4:$C$10,0))="","",INDEX(Listes!$D$4:$D$10,MATCH(F20,Listes!$C$4:$C$10,0))),""))</f>
        <v>365</v>
      </c>
      <c r="H20" s="21" t="s">
        <v>191</v>
      </c>
      <c r="I20" s="23" t="n">
        <v>46099</v>
      </c>
      <c r="J20" s="24" t="n">
        <f aca="false">IF($C20="","",IFERROR(IF(SUMPRODUCT(MAX(('Exemple registre'!$C$11:$C$35=$A20)*'Exemple registre'!$B$11:$B$35))=0,"",SUMPRODUCT(MAX(('Exemple registre'!$C$11:$C$35=$A20)*'Exemple registre'!$B$11:$B$35))),""))</f>
        <v>46099</v>
      </c>
      <c r="K20" s="24" t="n">
        <f aca="false">IF(OR($C20="",G20=""),"",IF(J20&lt;&gt;"",J20+G20,IF(I20&lt;&gt;"",I20,"")))</f>
        <v>46464</v>
      </c>
      <c r="L20" s="25" t="str">
        <f aca="false">IF($C20="","",IF($F20="","Fréquence à choisir",IF(G20="","Au fil de l’eau",IF(K20="","Premier passage à planifier",IF(K20&lt;$D$4,"En retard",IF(K20&lt;=$D$4+$D$6,"Passage proche","À jour"))))))</f>
        <v>À jour</v>
      </c>
      <c r="M20" s="25" t="n">
        <f aca="false">IF($C20="","",IF(COUNTIFS('Exemple registre'!$C$11:$C$35,$A20,'Exemple registre'!$B$11:$B$35,"&gt;="&amp;M$10,'Exemple registre'!$B$11:$B$35,"&lt;"&amp;EDATE(M$10,1))&gt;0,COUNTIFS('Exemple registre'!$C$11:$C$35,$A20,'Exemple registre'!$B$11:$B$35,"&gt;="&amp;M$10,'Exemple registre'!$B$11:$B$35,"&lt;"&amp;EDATE(M$10,1)),IF(AND($K20&lt;&gt;"",$K20&gt;=M$10,$K20&lt;EDATE(M$10,1)),"prévu","")))</f>
        <v>1</v>
      </c>
      <c r="N20" s="25" t="str">
        <f aca="false">IF($C20="","",IF(COUNTIFS('Exemple registre'!$C$11:$C$35,$A20,'Exemple registre'!$B$11:$B$35,"&gt;="&amp;N$10,'Exemple registre'!$B$11:$B$35,"&lt;"&amp;EDATE(N$10,1))&gt;0,COUNTIFS('Exemple registre'!$C$11:$C$35,$A20,'Exemple registre'!$B$11:$B$35,"&gt;="&amp;N$10,'Exemple registre'!$B$11:$B$35,"&lt;"&amp;EDATE(N$10,1)),IF(AND($K20&lt;&gt;"",$K20&gt;=N$10,$K20&lt;EDATE(N$10,1)),"prévu","")))</f>
        <v/>
      </c>
      <c r="O20" s="25" t="str">
        <f aca="false">IF($C20="","",IF(COUNTIFS('Exemple registre'!$C$11:$C$35,$A20,'Exemple registre'!$B$11:$B$35,"&gt;="&amp;O$10,'Exemple registre'!$B$11:$B$35,"&lt;"&amp;EDATE(O$10,1))&gt;0,COUNTIFS('Exemple registre'!$C$11:$C$35,$A20,'Exemple registre'!$B$11:$B$35,"&gt;="&amp;O$10,'Exemple registre'!$B$11:$B$35,"&lt;"&amp;EDATE(O$10,1)),IF(AND($K20&lt;&gt;"",$K20&gt;=O$10,$K20&lt;EDATE(O$10,1)),"prévu","")))</f>
        <v/>
      </c>
      <c r="P20" s="25" t="str">
        <f aca="false">IF($C20="","",IF(COUNTIFS('Exemple registre'!$C$11:$C$35,$A20,'Exemple registre'!$B$11:$B$35,"&gt;="&amp;P$10,'Exemple registre'!$B$11:$B$35,"&lt;"&amp;EDATE(P$10,1))&gt;0,COUNTIFS('Exemple registre'!$C$11:$C$35,$A20,'Exemple registre'!$B$11:$B$35,"&gt;="&amp;P$10,'Exemple registre'!$B$11:$B$35,"&lt;"&amp;EDATE(P$10,1)),IF(AND($K20&lt;&gt;"",$K20&gt;=P$10,$K20&lt;EDATE(P$10,1)),"prévu","")))</f>
        <v/>
      </c>
      <c r="Q20" s="25" t="str">
        <f aca="false">IF($C20="","",IF(COUNTIFS('Exemple registre'!$C$11:$C$35,$A20,'Exemple registre'!$B$11:$B$35,"&gt;="&amp;Q$10,'Exemple registre'!$B$11:$B$35,"&lt;"&amp;EDATE(Q$10,1))&gt;0,COUNTIFS('Exemple registre'!$C$11:$C$35,$A20,'Exemple registre'!$B$11:$B$35,"&gt;="&amp;Q$10,'Exemple registre'!$B$11:$B$35,"&lt;"&amp;EDATE(Q$10,1)),IF(AND($K20&lt;&gt;"",$K20&gt;=Q$10,$K20&lt;EDATE(Q$10,1)),"prévu","")))</f>
        <v/>
      </c>
      <c r="R20" s="25" t="str">
        <f aca="false">IF($C20="","",IF(COUNTIFS('Exemple registre'!$C$11:$C$35,$A20,'Exemple registre'!$B$11:$B$35,"&gt;="&amp;R$10,'Exemple registre'!$B$11:$B$35,"&lt;"&amp;EDATE(R$10,1))&gt;0,COUNTIFS('Exemple registre'!$C$11:$C$35,$A20,'Exemple registre'!$B$11:$B$35,"&gt;="&amp;R$10,'Exemple registre'!$B$11:$B$35,"&lt;"&amp;EDATE(R$10,1)),IF(AND($K20&lt;&gt;"",$K20&gt;=R$10,$K20&lt;EDATE(R$10,1)),"prévu","")))</f>
        <v/>
      </c>
      <c r="S20" s="25" t="str">
        <f aca="false">IF($C20="","",IF(COUNTIFS('Exemple registre'!$C$11:$C$35,$A20,'Exemple registre'!$B$11:$B$35,"&gt;="&amp;S$10,'Exemple registre'!$B$11:$B$35,"&lt;"&amp;EDATE(S$10,1))&gt;0,COUNTIFS('Exemple registre'!$C$11:$C$35,$A20,'Exemple registre'!$B$11:$B$35,"&gt;="&amp;S$10,'Exemple registre'!$B$11:$B$35,"&lt;"&amp;EDATE(S$10,1)),IF(AND($K20&lt;&gt;"",$K20&gt;=S$10,$K20&lt;EDATE(S$10,1)),"prévu","")))</f>
        <v/>
      </c>
      <c r="T20" s="25" t="str">
        <f aca="false">IF($C20="","",IF(COUNTIFS('Exemple registre'!$C$11:$C$35,$A20,'Exemple registre'!$B$11:$B$35,"&gt;="&amp;T$10,'Exemple registre'!$B$11:$B$35,"&lt;"&amp;EDATE(T$10,1))&gt;0,COUNTIFS('Exemple registre'!$C$11:$C$35,$A20,'Exemple registre'!$B$11:$B$35,"&gt;="&amp;T$10,'Exemple registre'!$B$11:$B$35,"&lt;"&amp;EDATE(T$10,1)),IF(AND($K20&lt;&gt;"",$K20&gt;=T$10,$K20&lt;EDATE(T$10,1)),"prévu","")))</f>
        <v/>
      </c>
      <c r="U20" s="25" t="str">
        <f aca="false">IF($C20="","",IF(COUNTIFS('Exemple registre'!$C$11:$C$35,$A20,'Exemple registre'!$B$11:$B$35,"&gt;="&amp;U$10,'Exemple registre'!$B$11:$B$35,"&lt;"&amp;EDATE(U$10,1))&gt;0,COUNTIFS('Exemple registre'!$C$11:$C$35,$A20,'Exemple registre'!$B$11:$B$35,"&gt;="&amp;U$10,'Exemple registre'!$B$11:$B$35,"&lt;"&amp;EDATE(U$10,1)),IF(AND($K20&lt;&gt;"",$K20&gt;=U$10,$K20&lt;EDATE(U$10,1)),"prévu","")))</f>
        <v/>
      </c>
      <c r="V20" s="25" t="str">
        <f aca="false">IF($C20="","",IF(COUNTIFS('Exemple registre'!$C$11:$C$35,$A20,'Exemple registre'!$B$11:$B$35,"&gt;="&amp;V$10,'Exemple registre'!$B$11:$B$35,"&lt;"&amp;EDATE(V$10,1))&gt;0,COUNTIFS('Exemple registre'!$C$11:$C$35,$A20,'Exemple registre'!$B$11:$B$35,"&gt;="&amp;V$10,'Exemple registre'!$B$11:$B$35,"&lt;"&amp;EDATE(V$10,1)),IF(AND($K20&lt;&gt;"",$K20&gt;=V$10,$K20&lt;EDATE(V$10,1)),"prévu","")))</f>
        <v/>
      </c>
      <c r="W20" s="25" t="str">
        <f aca="false">IF($C20="","",IF(COUNTIFS('Exemple registre'!$C$11:$C$35,$A20,'Exemple registre'!$B$11:$B$35,"&gt;="&amp;W$10,'Exemple registre'!$B$11:$B$35,"&lt;"&amp;EDATE(W$10,1))&gt;0,COUNTIFS('Exemple registre'!$C$11:$C$35,$A20,'Exemple registre'!$B$11:$B$35,"&gt;="&amp;W$10,'Exemple registre'!$B$11:$B$35,"&lt;"&amp;EDATE(W$10,1)),IF(AND($K20&lt;&gt;"",$K20&gt;=W$10,$K20&lt;EDATE(W$10,1)),"prévu","")))</f>
        <v/>
      </c>
      <c r="X20" s="25" t="str">
        <f aca="false">IF($C20="","",IF(COUNTIFS('Exemple registre'!$C$11:$C$35,$A20,'Exemple registre'!$B$11:$B$35,"&gt;="&amp;X$10,'Exemple registre'!$B$11:$B$35,"&lt;"&amp;EDATE(X$10,1))&gt;0,COUNTIFS('Exemple registre'!$C$11:$C$35,$A20,'Exemple registre'!$B$11:$B$35,"&gt;="&amp;X$10,'Exemple registre'!$B$11:$B$35,"&lt;"&amp;EDATE(X$10,1)),IF(AND($K20&lt;&gt;"",$K20&gt;=X$10,$K20&lt;EDATE(X$10,1)),"prévu","")))</f>
        <v/>
      </c>
    </row>
    <row r="21" customFormat="false" ht="45" hidden="false" customHeight="true" outlineLevel="0" collapsed="false">
      <c r="A21" s="20" t="n">
        <v>11</v>
      </c>
      <c r="B21" s="21" t="s">
        <v>78</v>
      </c>
      <c r="C21" s="21" t="s">
        <v>212</v>
      </c>
      <c r="D21" s="21" t="s">
        <v>81</v>
      </c>
      <c r="E21" s="21" t="s">
        <v>213</v>
      </c>
      <c r="F21" s="21" t="s">
        <v>192</v>
      </c>
      <c r="G21" s="22" t="n">
        <f aca="false">IF(F21="","",IFERROR(IF(INDEX(Listes!$D$4:$D$10,MATCH(F21,Listes!$C$4:$C$10,0))="","",INDEX(Listes!$D$4:$D$10,MATCH(F21,Listes!$C$4:$C$10,0))),""))</f>
        <v>91</v>
      </c>
      <c r="H21" s="21" t="s">
        <v>191</v>
      </c>
      <c r="I21" s="23" t="n">
        <v>46212</v>
      </c>
      <c r="J21" s="24" t="n">
        <f aca="false">IF($C21="","",IFERROR(IF(SUMPRODUCT(MAX(('Exemple registre'!$C$11:$C$35=$A21)*'Exemple registre'!$B$11:$B$35))=0,"",SUMPRODUCT(MAX(('Exemple registre'!$C$11:$C$35=$A21)*'Exemple registre'!$B$11:$B$35))),""))</f>
        <v>46304</v>
      </c>
      <c r="K21" s="24" t="n">
        <f aca="false">IF(OR($C21="",G21=""),"",IF(J21&lt;&gt;"",J21+G21,IF(I21&lt;&gt;"",I21,"")))</f>
        <v>46395</v>
      </c>
      <c r="L21" s="25" t="str">
        <f aca="false">IF($C21="","",IF($F21="","Fréquence à choisir",IF(G21="","Au fil de l’eau",IF(K21="","Premier passage à planifier",IF(K21&lt;$D$4,"En retard",IF(K21&lt;=$D$4+$D$6,"Passage proche","À jour"))))))</f>
        <v>À jour</v>
      </c>
      <c r="M21" s="25" t="str">
        <f aca="false">IF($C21="","",IF(COUNTIFS('Exemple registre'!$C$11:$C$35,$A21,'Exemple registre'!$B$11:$B$35,"&gt;="&amp;M$10,'Exemple registre'!$B$11:$B$35,"&lt;"&amp;EDATE(M$10,1))&gt;0,COUNTIFS('Exemple registre'!$C$11:$C$35,$A21,'Exemple registre'!$B$11:$B$35,"&gt;="&amp;M$10,'Exemple registre'!$B$11:$B$35,"&lt;"&amp;EDATE(M$10,1)),IF(AND($K21&lt;&gt;"",$K21&gt;=M$10,$K21&lt;EDATE(M$10,1)),"prévu","")))</f>
        <v/>
      </c>
      <c r="N21" s="25" t="str">
        <f aca="false">IF($C21="","",IF(COUNTIFS('Exemple registre'!$C$11:$C$35,$A21,'Exemple registre'!$B$11:$B$35,"&gt;="&amp;N$10,'Exemple registre'!$B$11:$B$35,"&lt;"&amp;EDATE(N$10,1))&gt;0,COUNTIFS('Exemple registre'!$C$11:$C$35,$A21,'Exemple registre'!$B$11:$B$35,"&gt;="&amp;N$10,'Exemple registre'!$B$11:$B$35,"&lt;"&amp;EDATE(N$10,1)),IF(AND($K21&lt;&gt;"",$K21&gt;=N$10,$K21&lt;EDATE(N$10,1)),"prévu","")))</f>
        <v/>
      </c>
      <c r="O21" s="25" t="str">
        <f aca="false">IF($C21="","",IF(COUNTIFS('Exemple registre'!$C$11:$C$35,$A21,'Exemple registre'!$B$11:$B$35,"&gt;="&amp;O$10,'Exemple registre'!$B$11:$B$35,"&lt;"&amp;EDATE(O$10,1))&gt;0,COUNTIFS('Exemple registre'!$C$11:$C$35,$A21,'Exemple registre'!$B$11:$B$35,"&gt;="&amp;O$10,'Exemple registre'!$B$11:$B$35,"&lt;"&amp;EDATE(O$10,1)),IF(AND($K21&lt;&gt;"",$K21&gt;=O$10,$K21&lt;EDATE(O$10,1)),"prévu","")))</f>
        <v/>
      </c>
      <c r="P21" s="25" t="str">
        <f aca="false">IF($C21="","",IF(COUNTIFS('Exemple registre'!$C$11:$C$35,$A21,'Exemple registre'!$B$11:$B$35,"&gt;="&amp;P$10,'Exemple registre'!$B$11:$B$35,"&lt;"&amp;EDATE(P$10,1))&gt;0,COUNTIFS('Exemple registre'!$C$11:$C$35,$A21,'Exemple registre'!$B$11:$B$35,"&gt;="&amp;P$10,'Exemple registre'!$B$11:$B$35,"&lt;"&amp;EDATE(P$10,1)),IF(AND($K21&lt;&gt;"",$K21&gt;=P$10,$K21&lt;EDATE(P$10,1)),"prévu","")))</f>
        <v/>
      </c>
      <c r="Q21" s="25" t="n">
        <f aca="false">IF($C21="","",IF(COUNTIFS('Exemple registre'!$C$11:$C$35,$A21,'Exemple registre'!$B$11:$B$35,"&gt;="&amp;Q$10,'Exemple registre'!$B$11:$B$35,"&lt;"&amp;EDATE(Q$10,1))&gt;0,COUNTIFS('Exemple registre'!$C$11:$C$35,$A21,'Exemple registre'!$B$11:$B$35,"&gt;="&amp;Q$10,'Exemple registre'!$B$11:$B$35,"&lt;"&amp;EDATE(Q$10,1)),IF(AND($K21&lt;&gt;"",$K21&gt;=Q$10,$K21&lt;EDATE(Q$10,1)),"prévu","")))</f>
        <v>1</v>
      </c>
      <c r="R21" s="25" t="str">
        <f aca="false">IF($C21="","",IF(COUNTIFS('Exemple registre'!$C$11:$C$35,$A21,'Exemple registre'!$B$11:$B$35,"&gt;="&amp;R$10,'Exemple registre'!$B$11:$B$35,"&lt;"&amp;EDATE(R$10,1))&gt;0,COUNTIFS('Exemple registre'!$C$11:$C$35,$A21,'Exemple registre'!$B$11:$B$35,"&gt;="&amp;R$10,'Exemple registre'!$B$11:$B$35,"&lt;"&amp;EDATE(R$10,1)),IF(AND($K21&lt;&gt;"",$K21&gt;=R$10,$K21&lt;EDATE(R$10,1)),"prévu","")))</f>
        <v/>
      </c>
      <c r="S21" s="25" t="str">
        <f aca="false">IF($C21="","",IF(COUNTIFS('Exemple registre'!$C$11:$C$35,$A21,'Exemple registre'!$B$11:$B$35,"&gt;="&amp;S$10,'Exemple registre'!$B$11:$B$35,"&lt;"&amp;EDATE(S$10,1))&gt;0,COUNTIFS('Exemple registre'!$C$11:$C$35,$A21,'Exemple registre'!$B$11:$B$35,"&gt;="&amp;S$10,'Exemple registre'!$B$11:$B$35,"&lt;"&amp;EDATE(S$10,1)),IF(AND($K21&lt;&gt;"",$K21&gt;=S$10,$K21&lt;EDATE(S$10,1)),"prévu","")))</f>
        <v/>
      </c>
      <c r="T21" s="25" t="n">
        <f aca="false">IF($C21="","",IF(COUNTIFS('Exemple registre'!$C$11:$C$35,$A21,'Exemple registre'!$B$11:$B$35,"&gt;="&amp;T$10,'Exemple registre'!$B$11:$B$35,"&lt;"&amp;EDATE(T$10,1))&gt;0,COUNTIFS('Exemple registre'!$C$11:$C$35,$A21,'Exemple registre'!$B$11:$B$35,"&gt;="&amp;T$10,'Exemple registre'!$B$11:$B$35,"&lt;"&amp;EDATE(T$10,1)),IF(AND($K21&lt;&gt;"",$K21&gt;=T$10,$K21&lt;EDATE(T$10,1)),"prévu","")))</f>
        <v>1</v>
      </c>
      <c r="U21" s="25" t="str">
        <f aca="false">IF($C21="","",IF(COUNTIFS('Exemple registre'!$C$11:$C$35,$A21,'Exemple registre'!$B$11:$B$35,"&gt;="&amp;U$10,'Exemple registre'!$B$11:$B$35,"&lt;"&amp;EDATE(U$10,1))&gt;0,COUNTIFS('Exemple registre'!$C$11:$C$35,$A21,'Exemple registre'!$B$11:$B$35,"&gt;="&amp;U$10,'Exemple registre'!$B$11:$B$35,"&lt;"&amp;EDATE(U$10,1)),IF(AND($K21&lt;&gt;"",$K21&gt;=U$10,$K21&lt;EDATE(U$10,1)),"prévu","")))</f>
        <v/>
      </c>
      <c r="V21" s="25" t="str">
        <f aca="false">IF($C21="","",IF(COUNTIFS('Exemple registre'!$C$11:$C$35,$A21,'Exemple registre'!$B$11:$B$35,"&gt;="&amp;V$10,'Exemple registre'!$B$11:$B$35,"&lt;"&amp;EDATE(V$10,1))&gt;0,COUNTIFS('Exemple registre'!$C$11:$C$35,$A21,'Exemple registre'!$B$11:$B$35,"&gt;="&amp;V$10,'Exemple registre'!$B$11:$B$35,"&lt;"&amp;EDATE(V$10,1)),IF(AND($K21&lt;&gt;"",$K21&gt;=V$10,$K21&lt;EDATE(V$10,1)),"prévu","")))</f>
        <v/>
      </c>
      <c r="W21" s="25" t="str">
        <f aca="false">IF($C21="","",IF(COUNTIFS('Exemple registre'!$C$11:$C$35,$A21,'Exemple registre'!$B$11:$B$35,"&gt;="&amp;W$10,'Exemple registre'!$B$11:$B$35,"&lt;"&amp;EDATE(W$10,1))&gt;0,COUNTIFS('Exemple registre'!$C$11:$C$35,$A21,'Exemple registre'!$B$11:$B$35,"&gt;="&amp;W$10,'Exemple registre'!$B$11:$B$35,"&lt;"&amp;EDATE(W$10,1)),IF(AND($K21&lt;&gt;"",$K21&gt;=W$10,$K21&lt;EDATE(W$10,1)),"prévu","")))</f>
        <v>prévu</v>
      </c>
      <c r="X21" s="25" t="str">
        <f aca="false">IF($C21="","",IF(COUNTIFS('Exemple registre'!$C$11:$C$35,$A21,'Exemple registre'!$B$11:$B$35,"&gt;="&amp;X$10,'Exemple registre'!$B$11:$B$35,"&lt;"&amp;EDATE(X$10,1))&gt;0,COUNTIFS('Exemple registre'!$C$11:$C$35,$A21,'Exemple registre'!$B$11:$B$35,"&gt;="&amp;X$10,'Exemple registre'!$B$11:$B$35,"&lt;"&amp;EDATE(X$10,1)),IF(AND($K21&lt;&gt;"",$K21&gt;=X$10,$K21&lt;EDATE(X$10,1)),"prévu","")))</f>
        <v/>
      </c>
    </row>
    <row r="22" customFormat="false" ht="45" hidden="false" customHeight="true" outlineLevel="0" collapsed="false">
      <c r="A22" s="20" t="n">
        <v>12</v>
      </c>
      <c r="B22" s="21" t="s">
        <v>78</v>
      </c>
      <c r="C22" s="21" t="s">
        <v>214</v>
      </c>
      <c r="D22" s="21" t="s">
        <v>84</v>
      </c>
      <c r="E22" s="21" t="s">
        <v>215</v>
      </c>
      <c r="F22" s="21" t="s">
        <v>192</v>
      </c>
      <c r="G22" s="22" t="n">
        <f aca="false">IF(F22="","",IFERROR(IF(INDEX(Listes!$D$4:$D$10,MATCH(F22,Listes!$C$4:$C$10,0))="","",INDEX(Listes!$D$4:$D$10,MATCH(F22,Listes!$C$4:$C$10,0))),""))</f>
        <v>91</v>
      </c>
      <c r="H22" s="21" t="s">
        <v>193</v>
      </c>
      <c r="I22" s="23" t="n">
        <v>46217</v>
      </c>
      <c r="J22" s="24" t="n">
        <f aca="false">IF($C22="","",IFERROR(IF(SUMPRODUCT(MAX(('Exemple registre'!$C$11:$C$35=$A22)*'Exemple registre'!$B$11:$B$35))=0,"",SUMPRODUCT(MAX(('Exemple registre'!$C$11:$C$35=$A22)*'Exemple registre'!$B$11:$B$35))),""))</f>
        <v>46309</v>
      </c>
      <c r="K22" s="24" t="n">
        <f aca="false">IF(OR($C22="",G22=""),"",IF(J22&lt;&gt;"",J22+G22,IF(I22&lt;&gt;"",I22,"")))</f>
        <v>46400</v>
      </c>
      <c r="L22" s="25" t="str">
        <f aca="false">IF($C22="","",IF($F22="","Fréquence à choisir",IF(G22="","Au fil de l’eau",IF(K22="","Premier passage à planifier",IF(K22&lt;$D$4,"En retard",IF(K22&lt;=$D$4+$D$6,"Passage proche","À jour"))))))</f>
        <v>À jour</v>
      </c>
      <c r="M22" s="25" t="str">
        <f aca="false">IF($C22="","",IF(COUNTIFS('Exemple registre'!$C$11:$C$35,$A22,'Exemple registre'!$B$11:$B$35,"&gt;="&amp;M$10,'Exemple registre'!$B$11:$B$35,"&lt;"&amp;EDATE(M$10,1))&gt;0,COUNTIFS('Exemple registre'!$C$11:$C$35,$A22,'Exemple registre'!$B$11:$B$35,"&gt;="&amp;M$10,'Exemple registre'!$B$11:$B$35,"&lt;"&amp;EDATE(M$10,1)),IF(AND($K22&lt;&gt;"",$K22&gt;=M$10,$K22&lt;EDATE(M$10,1)),"prévu","")))</f>
        <v/>
      </c>
      <c r="N22" s="25" t="str">
        <f aca="false">IF($C22="","",IF(COUNTIFS('Exemple registre'!$C$11:$C$35,$A22,'Exemple registre'!$B$11:$B$35,"&gt;="&amp;N$10,'Exemple registre'!$B$11:$B$35,"&lt;"&amp;EDATE(N$10,1))&gt;0,COUNTIFS('Exemple registre'!$C$11:$C$35,$A22,'Exemple registre'!$B$11:$B$35,"&gt;="&amp;N$10,'Exemple registre'!$B$11:$B$35,"&lt;"&amp;EDATE(N$10,1)),IF(AND($K22&lt;&gt;"",$K22&gt;=N$10,$K22&lt;EDATE(N$10,1)),"prévu","")))</f>
        <v/>
      </c>
      <c r="O22" s="25" t="str">
        <f aca="false">IF($C22="","",IF(COUNTIFS('Exemple registre'!$C$11:$C$35,$A22,'Exemple registre'!$B$11:$B$35,"&gt;="&amp;O$10,'Exemple registre'!$B$11:$B$35,"&lt;"&amp;EDATE(O$10,1))&gt;0,COUNTIFS('Exemple registre'!$C$11:$C$35,$A22,'Exemple registre'!$B$11:$B$35,"&gt;="&amp;O$10,'Exemple registre'!$B$11:$B$35,"&lt;"&amp;EDATE(O$10,1)),IF(AND($K22&lt;&gt;"",$K22&gt;=O$10,$K22&lt;EDATE(O$10,1)),"prévu","")))</f>
        <v/>
      </c>
      <c r="P22" s="25" t="str">
        <f aca="false">IF($C22="","",IF(COUNTIFS('Exemple registre'!$C$11:$C$35,$A22,'Exemple registre'!$B$11:$B$35,"&gt;="&amp;P$10,'Exemple registre'!$B$11:$B$35,"&lt;"&amp;EDATE(P$10,1))&gt;0,COUNTIFS('Exemple registre'!$C$11:$C$35,$A22,'Exemple registre'!$B$11:$B$35,"&gt;="&amp;P$10,'Exemple registre'!$B$11:$B$35,"&lt;"&amp;EDATE(P$10,1)),IF(AND($K22&lt;&gt;"",$K22&gt;=P$10,$K22&lt;EDATE(P$10,1)),"prévu","")))</f>
        <v/>
      </c>
      <c r="Q22" s="25" t="n">
        <f aca="false">IF($C22="","",IF(COUNTIFS('Exemple registre'!$C$11:$C$35,$A22,'Exemple registre'!$B$11:$B$35,"&gt;="&amp;Q$10,'Exemple registre'!$B$11:$B$35,"&lt;"&amp;EDATE(Q$10,1))&gt;0,COUNTIFS('Exemple registre'!$C$11:$C$35,$A22,'Exemple registre'!$B$11:$B$35,"&gt;="&amp;Q$10,'Exemple registre'!$B$11:$B$35,"&lt;"&amp;EDATE(Q$10,1)),IF(AND($K22&lt;&gt;"",$K22&gt;=Q$10,$K22&lt;EDATE(Q$10,1)),"prévu","")))</f>
        <v>1</v>
      </c>
      <c r="R22" s="25" t="str">
        <f aca="false">IF($C22="","",IF(COUNTIFS('Exemple registre'!$C$11:$C$35,$A22,'Exemple registre'!$B$11:$B$35,"&gt;="&amp;R$10,'Exemple registre'!$B$11:$B$35,"&lt;"&amp;EDATE(R$10,1))&gt;0,COUNTIFS('Exemple registre'!$C$11:$C$35,$A22,'Exemple registre'!$B$11:$B$35,"&gt;="&amp;R$10,'Exemple registre'!$B$11:$B$35,"&lt;"&amp;EDATE(R$10,1)),IF(AND($K22&lt;&gt;"",$K22&gt;=R$10,$K22&lt;EDATE(R$10,1)),"prévu","")))</f>
        <v/>
      </c>
      <c r="S22" s="25" t="str">
        <f aca="false">IF($C22="","",IF(COUNTIFS('Exemple registre'!$C$11:$C$35,$A22,'Exemple registre'!$B$11:$B$35,"&gt;="&amp;S$10,'Exemple registre'!$B$11:$B$35,"&lt;"&amp;EDATE(S$10,1))&gt;0,COUNTIFS('Exemple registre'!$C$11:$C$35,$A22,'Exemple registre'!$B$11:$B$35,"&gt;="&amp;S$10,'Exemple registre'!$B$11:$B$35,"&lt;"&amp;EDATE(S$10,1)),IF(AND($K22&lt;&gt;"",$K22&gt;=S$10,$K22&lt;EDATE(S$10,1)),"prévu","")))</f>
        <v/>
      </c>
      <c r="T22" s="25" t="n">
        <f aca="false">IF($C22="","",IF(COUNTIFS('Exemple registre'!$C$11:$C$35,$A22,'Exemple registre'!$B$11:$B$35,"&gt;="&amp;T$10,'Exemple registre'!$B$11:$B$35,"&lt;"&amp;EDATE(T$10,1))&gt;0,COUNTIFS('Exemple registre'!$C$11:$C$35,$A22,'Exemple registre'!$B$11:$B$35,"&gt;="&amp;T$10,'Exemple registre'!$B$11:$B$35,"&lt;"&amp;EDATE(T$10,1)),IF(AND($K22&lt;&gt;"",$K22&gt;=T$10,$K22&lt;EDATE(T$10,1)),"prévu","")))</f>
        <v>1</v>
      </c>
      <c r="U22" s="25" t="str">
        <f aca="false">IF($C22="","",IF(COUNTIFS('Exemple registre'!$C$11:$C$35,$A22,'Exemple registre'!$B$11:$B$35,"&gt;="&amp;U$10,'Exemple registre'!$B$11:$B$35,"&lt;"&amp;EDATE(U$10,1))&gt;0,COUNTIFS('Exemple registre'!$C$11:$C$35,$A22,'Exemple registre'!$B$11:$B$35,"&gt;="&amp;U$10,'Exemple registre'!$B$11:$B$35,"&lt;"&amp;EDATE(U$10,1)),IF(AND($K22&lt;&gt;"",$K22&gt;=U$10,$K22&lt;EDATE(U$10,1)),"prévu","")))</f>
        <v/>
      </c>
      <c r="V22" s="25" t="str">
        <f aca="false">IF($C22="","",IF(COUNTIFS('Exemple registre'!$C$11:$C$35,$A22,'Exemple registre'!$B$11:$B$35,"&gt;="&amp;V$10,'Exemple registre'!$B$11:$B$35,"&lt;"&amp;EDATE(V$10,1))&gt;0,COUNTIFS('Exemple registre'!$C$11:$C$35,$A22,'Exemple registre'!$B$11:$B$35,"&gt;="&amp;V$10,'Exemple registre'!$B$11:$B$35,"&lt;"&amp;EDATE(V$10,1)),IF(AND($K22&lt;&gt;"",$K22&gt;=V$10,$K22&lt;EDATE(V$10,1)),"prévu","")))</f>
        <v/>
      </c>
      <c r="W22" s="25" t="str">
        <f aca="false">IF($C22="","",IF(COUNTIFS('Exemple registre'!$C$11:$C$35,$A22,'Exemple registre'!$B$11:$B$35,"&gt;="&amp;W$10,'Exemple registre'!$B$11:$B$35,"&lt;"&amp;EDATE(W$10,1))&gt;0,COUNTIFS('Exemple registre'!$C$11:$C$35,$A22,'Exemple registre'!$B$11:$B$35,"&gt;="&amp;W$10,'Exemple registre'!$B$11:$B$35,"&lt;"&amp;EDATE(W$10,1)),IF(AND($K22&lt;&gt;"",$K22&gt;=W$10,$K22&lt;EDATE(W$10,1)),"prévu","")))</f>
        <v>prévu</v>
      </c>
      <c r="X22" s="25" t="str">
        <f aca="false">IF($C22="","",IF(COUNTIFS('Exemple registre'!$C$11:$C$35,$A22,'Exemple registre'!$B$11:$B$35,"&gt;="&amp;X$10,'Exemple registre'!$B$11:$B$35,"&lt;"&amp;EDATE(X$10,1))&gt;0,COUNTIFS('Exemple registre'!$C$11:$C$35,$A22,'Exemple registre'!$B$11:$B$35,"&gt;="&amp;X$10,'Exemple registre'!$B$11:$B$35,"&lt;"&amp;EDATE(X$10,1)),IF(AND($K22&lt;&gt;"",$K22&gt;=X$10,$K22&lt;EDATE(X$10,1)),"prévu","")))</f>
        <v/>
      </c>
    </row>
    <row r="23" customFormat="false" ht="24" hidden="false" customHeight="true" outlineLevel="0" collapsed="false">
      <c r="A23" s="20" t="n">
        <v>13</v>
      </c>
      <c r="B23" s="21"/>
      <c r="C23" s="21"/>
      <c r="D23" s="21"/>
      <c r="E23" s="21"/>
      <c r="F23" s="21"/>
      <c r="G23" s="22" t="str">
        <f aca="false">IF(F23="","",IFERROR(IF(INDEX(Listes!$D$4:$D$10,MATCH(F23,Listes!$C$4:$C$10,0))="","",INDEX(Listes!$D$4:$D$10,MATCH(F23,Listes!$C$4:$C$10,0))),""))</f>
        <v/>
      </c>
      <c r="H23" s="21"/>
      <c r="I23" s="23"/>
      <c r="J23" s="24" t="str">
        <f aca="false">IF($C23="","",IFERROR(IF(SUMPRODUCT(MAX(('Exemple registre'!$C$11:$C$35=$A23)*'Exemple registre'!$B$11:$B$35))=0,"",SUMPRODUCT(MAX(('Exemple registre'!$C$11:$C$35=$A23)*'Exemple registre'!$B$11:$B$35))),""))</f>
        <v/>
      </c>
      <c r="K23" s="24" t="str">
        <f aca="false">IF(OR($C23="",G23=""),"",IF(J23&lt;&gt;"",J23+G23,IF(I23&lt;&gt;"",I23,"")))</f>
        <v/>
      </c>
      <c r="L23" s="25" t="str">
        <f aca="false">IF($C23="","",IF($F23="","Fréquence à choisir",IF(G23="","Au fil de l’eau",IF(K23="","Premier passage à planifier",IF(K23&lt;$D$4,"En retard",IF(K23&lt;=$D$4+$D$6,"Passage proche","À jour"))))))</f>
        <v/>
      </c>
      <c r="M23" s="25" t="str">
        <f aca="false">IF($C23="","",IF(COUNTIFS('Exemple registre'!$C$11:$C$35,$A23,'Exemple registre'!$B$11:$B$35,"&gt;="&amp;M$10,'Exemple registre'!$B$11:$B$35,"&lt;"&amp;EDATE(M$10,1))&gt;0,COUNTIFS('Exemple registre'!$C$11:$C$35,$A23,'Exemple registre'!$B$11:$B$35,"&gt;="&amp;M$10,'Exemple registre'!$B$11:$B$35,"&lt;"&amp;EDATE(M$10,1)),IF(AND($K23&lt;&gt;"",$K23&gt;=M$10,$K23&lt;EDATE(M$10,1)),"prévu","")))</f>
        <v/>
      </c>
      <c r="N23" s="25" t="str">
        <f aca="false">IF($C23="","",IF(COUNTIFS('Exemple registre'!$C$11:$C$35,$A23,'Exemple registre'!$B$11:$B$35,"&gt;="&amp;N$10,'Exemple registre'!$B$11:$B$35,"&lt;"&amp;EDATE(N$10,1))&gt;0,COUNTIFS('Exemple registre'!$C$11:$C$35,$A23,'Exemple registre'!$B$11:$B$35,"&gt;="&amp;N$10,'Exemple registre'!$B$11:$B$35,"&lt;"&amp;EDATE(N$10,1)),IF(AND($K23&lt;&gt;"",$K23&gt;=N$10,$K23&lt;EDATE(N$10,1)),"prévu","")))</f>
        <v/>
      </c>
      <c r="O23" s="25" t="str">
        <f aca="false">IF($C23="","",IF(COUNTIFS('Exemple registre'!$C$11:$C$35,$A23,'Exemple registre'!$B$11:$B$35,"&gt;="&amp;O$10,'Exemple registre'!$B$11:$B$35,"&lt;"&amp;EDATE(O$10,1))&gt;0,COUNTIFS('Exemple registre'!$C$11:$C$35,$A23,'Exemple registre'!$B$11:$B$35,"&gt;="&amp;O$10,'Exemple registre'!$B$11:$B$35,"&lt;"&amp;EDATE(O$10,1)),IF(AND($K23&lt;&gt;"",$K23&gt;=O$10,$K23&lt;EDATE(O$10,1)),"prévu","")))</f>
        <v/>
      </c>
      <c r="P23" s="25" t="str">
        <f aca="false">IF($C23="","",IF(COUNTIFS('Exemple registre'!$C$11:$C$35,$A23,'Exemple registre'!$B$11:$B$35,"&gt;="&amp;P$10,'Exemple registre'!$B$11:$B$35,"&lt;"&amp;EDATE(P$10,1))&gt;0,COUNTIFS('Exemple registre'!$C$11:$C$35,$A23,'Exemple registre'!$B$11:$B$35,"&gt;="&amp;P$10,'Exemple registre'!$B$11:$B$35,"&lt;"&amp;EDATE(P$10,1)),IF(AND($K23&lt;&gt;"",$K23&gt;=P$10,$K23&lt;EDATE(P$10,1)),"prévu","")))</f>
        <v/>
      </c>
      <c r="Q23" s="25" t="str">
        <f aca="false">IF($C23="","",IF(COUNTIFS('Exemple registre'!$C$11:$C$35,$A23,'Exemple registre'!$B$11:$B$35,"&gt;="&amp;Q$10,'Exemple registre'!$B$11:$B$35,"&lt;"&amp;EDATE(Q$10,1))&gt;0,COUNTIFS('Exemple registre'!$C$11:$C$35,$A23,'Exemple registre'!$B$11:$B$35,"&gt;="&amp;Q$10,'Exemple registre'!$B$11:$B$35,"&lt;"&amp;EDATE(Q$10,1)),IF(AND($K23&lt;&gt;"",$K23&gt;=Q$10,$K23&lt;EDATE(Q$10,1)),"prévu","")))</f>
        <v/>
      </c>
      <c r="R23" s="25" t="str">
        <f aca="false">IF($C23="","",IF(COUNTIFS('Exemple registre'!$C$11:$C$35,$A23,'Exemple registre'!$B$11:$B$35,"&gt;="&amp;R$10,'Exemple registre'!$B$11:$B$35,"&lt;"&amp;EDATE(R$10,1))&gt;0,COUNTIFS('Exemple registre'!$C$11:$C$35,$A23,'Exemple registre'!$B$11:$B$35,"&gt;="&amp;R$10,'Exemple registre'!$B$11:$B$35,"&lt;"&amp;EDATE(R$10,1)),IF(AND($K23&lt;&gt;"",$K23&gt;=R$10,$K23&lt;EDATE(R$10,1)),"prévu","")))</f>
        <v/>
      </c>
      <c r="S23" s="25" t="str">
        <f aca="false">IF($C23="","",IF(COUNTIFS('Exemple registre'!$C$11:$C$35,$A23,'Exemple registre'!$B$11:$B$35,"&gt;="&amp;S$10,'Exemple registre'!$B$11:$B$35,"&lt;"&amp;EDATE(S$10,1))&gt;0,COUNTIFS('Exemple registre'!$C$11:$C$35,$A23,'Exemple registre'!$B$11:$B$35,"&gt;="&amp;S$10,'Exemple registre'!$B$11:$B$35,"&lt;"&amp;EDATE(S$10,1)),IF(AND($K23&lt;&gt;"",$K23&gt;=S$10,$K23&lt;EDATE(S$10,1)),"prévu","")))</f>
        <v/>
      </c>
      <c r="T23" s="25" t="str">
        <f aca="false">IF($C23="","",IF(COUNTIFS('Exemple registre'!$C$11:$C$35,$A23,'Exemple registre'!$B$11:$B$35,"&gt;="&amp;T$10,'Exemple registre'!$B$11:$B$35,"&lt;"&amp;EDATE(T$10,1))&gt;0,COUNTIFS('Exemple registre'!$C$11:$C$35,$A23,'Exemple registre'!$B$11:$B$35,"&gt;="&amp;T$10,'Exemple registre'!$B$11:$B$35,"&lt;"&amp;EDATE(T$10,1)),IF(AND($K23&lt;&gt;"",$K23&gt;=T$10,$K23&lt;EDATE(T$10,1)),"prévu","")))</f>
        <v/>
      </c>
      <c r="U23" s="25" t="str">
        <f aca="false">IF($C23="","",IF(COUNTIFS('Exemple registre'!$C$11:$C$35,$A23,'Exemple registre'!$B$11:$B$35,"&gt;="&amp;U$10,'Exemple registre'!$B$11:$B$35,"&lt;"&amp;EDATE(U$10,1))&gt;0,COUNTIFS('Exemple registre'!$C$11:$C$35,$A23,'Exemple registre'!$B$11:$B$35,"&gt;="&amp;U$10,'Exemple registre'!$B$11:$B$35,"&lt;"&amp;EDATE(U$10,1)),IF(AND($K23&lt;&gt;"",$K23&gt;=U$10,$K23&lt;EDATE(U$10,1)),"prévu","")))</f>
        <v/>
      </c>
      <c r="V23" s="25" t="str">
        <f aca="false">IF($C23="","",IF(COUNTIFS('Exemple registre'!$C$11:$C$35,$A23,'Exemple registre'!$B$11:$B$35,"&gt;="&amp;V$10,'Exemple registre'!$B$11:$B$35,"&lt;"&amp;EDATE(V$10,1))&gt;0,COUNTIFS('Exemple registre'!$C$11:$C$35,$A23,'Exemple registre'!$B$11:$B$35,"&gt;="&amp;V$10,'Exemple registre'!$B$11:$B$35,"&lt;"&amp;EDATE(V$10,1)),IF(AND($K23&lt;&gt;"",$K23&gt;=V$10,$K23&lt;EDATE(V$10,1)),"prévu","")))</f>
        <v/>
      </c>
      <c r="W23" s="25" t="str">
        <f aca="false">IF($C23="","",IF(COUNTIFS('Exemple registre'!$C$11:$C$35,$A23,'Exemple registre'!$B$11:$B$35,"&gt;="&amp;W$10,'Exemple registre'!$B$11:$B$35,"&lt;"&amp;EDATE(W$10,1))&gt;0,COUNTIFS('Exemple registre'!$C$11:$C$35,$A23,'Exemple registre'!$B$11:$B$35,"&gt;="&amp;W$10,'Exemple registre'!$B$11:$B$35,"&lt;"&amp;EDATE(W$10,1)),IF(AND($K23&lt;&gt;"",$K23&gt;=W$10,$K23&lt;EDATE(W$10,1)),"prévu","")))</f>
        <v/>
      </c>
      <c r="X23" s="25" t="str">
        <f aca="false">IF($C23="","",IF(COUNTIFS('Exemple registre'!$C$11:$C$35,$A23,'Exemple registre'!$B$11:$B$35,"&gt;="&amp;X$10,'Exemple registre'!$B$11:$B$35,"&lt;"&amp;EDATE(X$10,1))&gt;0,COUNTIFS('Exemple registre'!$C$11:$C$35,$A23,'Exemple registre'!$B$11:$B$35,"&gt;="&amp;X$10,'Exemple registre'!$B$11:$B$35,"&lt;"&amp;EDATE(X$10,1)),IF(AND($K23&lt;&gt;"",$K23&gt;=X$10,$K23&lt;EDATE(X$10,1)),"prévu","")))</f>
        <v/>
      </c>
    </row>
    <row r="24" customFormat="false" ht="24" hidden="false" customHeight="true" outlineLevel="0" collapsed="false">
      <c r="A24" s="20" t="n">
        <v>14</v>
      </c>
      <c r="B24" s="21"/>
      <c r="C24" s="21"/>
      <c r="D24" s="21"/>
      <c r="E24" s="21"/>
      <c r="F24" s="21"/>
      <c r="G24" s="22" t="str">
        <f aca="false">IF(F24="","",IFERROR(IF(INDEX(Listes!$D$4:$D$10,MATCH(F24,Listes!$C$4:$C$10,0))="","",INDEX(Listes!$D$4:$D$10,MATCH(F24,Listes!$C$4:$C$10,0))),""))</f>
        <v/>
      </c>
      <c r="H24" s="21"/>
      <c r="I24" s="23"/>
      <c r="J24" s="24" t="str">
        <f aca="false">IF($C24="","",IFERROR(IF(SUMPRODUCT(MAX(('Exemple registre'!$C$11:$C$35=$A24)*'Exemple registre'!$B$11:$B$35))=0,"",SUMPRODUCT(MAX(('Exemple registre'!$C$11:$C$35=$A24)*'Exemple registre'!$B$11:$B$35))),""))</f>
        <v/>
      </c>
      <c r="K24" s="24" t="str">
        <f aca="false">IF(OR($C24="",G24=""),"",IF(J24&lt;&gt;"",J24+G24,IF(I24&lt;&gt;"",I24,"")))</f>
        <v/>
      </c>
      <c r="L24" s="25" t="str">
        <f aca="false">IF($C24="","",IF($F24="","Fréquence à choisir",IF(G24="","Au fil de l’eau",IF(K24="","Premier passage à planifier",IF(K24&lt;$D$4,"En retard",IF(K24&lt;=$D$4+$D$6,"Passage proche","À jour"))))))</f>
        <v/>
      </c>
      <c r="M24" s="25" t="str">
        <f aca="false">IF($C24="","",IF(COUNTIFS('Exemple registre'!$C$11:$C$35,$A24,'Exemple registre'!$B$11:$B$35,"&gt;="&amp;M$10,'Exemple registre'!$B$11:$B$35,"&lt;"&amp;EDATE(M$10,1))&gt;0,COUNTIFS('Exemple registre'!$C$11:$C$35,$A24,'Exemple registre'!$B$11:$B$35,"&gt;="&amp;M$10,'Exemple registre'!$B$11:$B$35,"&lt;"&amp;EDATE(M$10,1)),IF(AND($K24&lt;&gt;"",$K24&gt;=M$10,$K24&lt;EDATE(M$10,1)),"prévu","")))</f>
        <v/>
      </c>
      <c r="N24" s="25" t="str">
        <f aca="false">IF($C24="","",IF(COUNTIFS('Exemple registre'!$C$11:$C$35,$A24,'Exemple registre'!$B$11:$B$35,"&gt;="&amp;N$10,'Exemple registre'!$B$11:$B$35,"&lt;"&amp;EDATE(N$10,1))&gt;0,COUNTIFS('Exemple registre'!$C$11:$C$35,$A24,'Exemple registre'!$B$11:$B$35,"&gt;="&amp;N$10,'Exemple registre'!$B$11:$B$35,"&lt;"&amp;EDATE(N$10,1)),IF(AND($K24&lt;&gt;"",$K24&gt;=N$10,$K24&lt;EDATE(N$10,1)),"prévu","")))</f>
        <v/>
      </c>
      <c r="O24" s="25" t="str">
        <f aca="false">IF($C24="","",IF(COUNTIFS('Exemple registre'!$C$11:$C$35,$A24,'Exemple registre'!$B$11:$B$35,"&gt;="&amp;O$10,'Exemple registre'!$B$11:$B$35,"&lt;"&amp;EDATE(O$10,1))&gt;0,COUNTIFS('Exemple registre'!$C$11:$C$35,$A24,'Exemple registre'!$B$11:$B$35,"&gt;="&amp;O$10,'Exemple registre'!$B$11:$B$35,"&lt;"&amp;EDATE(O$10,1)),IF(AND($K24&lt;&gt;"",$K24&gt;=O$10,$K24&lt;EDATE(O$10,1)),"prévu","")))</f>
        <v/>
      </c>
      <c r="P24" s="25" t="str">
        <f aca="false">IF($C24="","",IF(COUNTIFS('Exemple registre'!$C$11:$C$35,$A24,'Exemple registre'!$B$11:$B$35,"&gt;="&amp;P$10,'Exemple registre'!$B$11:$B$35,"&lt;"&amp;EDATE(P$10,1))&gt;0,COUNTIFS('Exemple registre'!$C$11:$C$35,$A24,'Exemple registre'!$B$11:$B$35,"&gt;="&amp;P$10,'Exemple registre'!$B$11:$B$35,"&lt;"&amp;EDATE(P$10,1)),IF(AND($K24&lt;&gt;"",$K24&gt;=P$10,$K24&lt;EDATE(P$10,1)),"prévu","")))</f>
        <v/>
      </c>
      <c r="Q24" s="25" t="str">
        <f aca="false">IF($C24="","",IF(COUNTIFS('Exemple registre'!$C$11:$C$35,$A24,'Exemple registre'!$B$11:$B$35,"&gt;="&amp;Q$10,'Exemple registre'!$B$11:$B$35,"&lt;"&amp;EDATE(Q$10,1))&gt;0,COUNTIFS('Exemple registre'!$C$11:$C$35,$A24,'Exemple registre'!$B$11:$B$35,"&gt;="&amp;Q$10,'Exemple registre'!$B$11:$B$35,"&lt;"&amp;EDATE(Q$10,1)),IF(AND($K24&lt;&gt;"",$K24&gt;=Q$10,$K24&lt;EDATE(Q$10,1)),"prévu","")))</f>
        <v/>
      </c>
      <c r="R24" s="25" t="str">
        <f aca="false">IF($C24="","",IF(COUNTIFS('Exemple registre'!$C$11:$C$35,$A24,'Exemple registre'!$B$11:$B$35,"&gt;="&amp;R$10,'Exemple registre'!$B$11:$B$35,"&lt;"&amp;EDATE(R$10,1))&gt;0,COUNTIFS('Exemple registre'!$C$11:$C$35,$A24,'Exemple registre'!$B$11:$B$35,"&gt;="&amp;R$10,'Exemple registre'!$B$11:$B$35,"&lt;"&amp;EDATE(R$10,1)),IF(AND($K24&lt;&gt;"",$K24&gt;=R$10,$K24&lt;EDATE(R$10,1)),"prévu","")))</f>
        <v/>
      </c>
      <c r="S24" s="25" t="str">
        <f aca="false">IF($C24="","",IF(COUNTIFS('Exemple registre'!$C$11:$C$35,$A24,'Exemple registre'!$B$11:$B$35,"&gt;="&amp;S$10,'Exemple registre'!$B$11:$B$35,"&lt;"&amp;EDATE(S$10,1))&gt;0,COUNTIFS('Exemple registre'!$C$11:$C$35,$A24,'Exemple registre'!$B$11:$B$35,"&gt;="&amp;S$10,'Exemple registre'!$B$11:$B$35,"&lt;"&amp;EDATE(S$10,1)),IF(AND($K24&lt;&gt;"",$K24&gt;=S$10,$K24&lt;EDATE(S$10,1)),"prévu","")))</f>
        <v/>
      </c>
      <c r="T24" s="25" t="str">
        <f aca="false">IF($C24="","",IF(COUNTIFS('Exemple registre'!$C$11:$C$35,$A24,'Exemple registre'!$B$11:$B$35,"&gt;="&amp;T$10,'Exemple registre'!$B$11:$B$35,"&lt;"&amp;EDATE(T$10,1))&gt;0,COUNTIFS('Exemple registre'!$C$11:$C$35,$A24,'Exemple registre'!$B$11:$B$35,"&gt;="&amp;T$10,'Exemple registre'!$B$11:$B$35,"&lt;"&amp;EDATE(T$10,1)),IF(AND($K24&lt;&gt;"",$K24&gt;=T$10,$K24&lt;EDATE(T$10,1)),"prévu","")))</f>
        <v/>
      </c>
      <c r="U24" s="25" t="str">
        <f aca="false">IF($C24="","",IF(COUNTIFS('Exemple registre'!$C$11:$C$35,$A24,'Exemple registre'!$B$11:$B$35,"&gt;="&amp;U$10,'Exemple registre'!$B$11:$B$35,"&lt;"&amp;EDATE(U$10,1))&gt;0,COUNTIFS('Exemple registre'!$C$11:$C$35,$A24,'Exemple registre'!$B$11:$B$35,"&gt;="&amp;U$10,'Exemple registre'!$B$11:$B$35,"&lt;"&amp;EDATE(U$10,1)),IF(AND($K24&lt;&gt;"",$K24&gt;=U$10,$K24&lt;EDATE(U$10,1)),"prévu","")))</f>
        <v/>
      </c>
      <c r="V24" s="25" t="str">
        <f aca="false">IF($C24="","",IF(COUNTIFS('Exemple registre'!$C$11:$C$35,$A24,'Exemple registre'!$B$11:$B$35,"&gt;="&amp;V$10,'Exemple registre'!$B$11:$B$35,"&lt;"&amp;EDATE(V$10,1))&gt;0,COUNTIFS('Exemple registre'!$C$11:$C$35,$A24,'Exemple registre'!$B$11:$B$35,"&gt;="&amp;V$10,'Exemple registre'!$B$11:$B$35,"&lt;"&amp;EDATE(V$10,1)),IF(AND($K24&lt;&gt;"",$K24&gt;=V$10,$K24&lt;EDATE(V$10,1)),"prévu","")))</f>
        <v/>
      </c>
      <c r="W24" s="25" t="str">
        <f aca="false">IF($C24="","",IF(COUNTIFS('Exemple registre'!$C$11:$C$35,$A24,'Exemple registre'!$B$11:$B$35,"&gt;="&amp;W$10,'Exemple registre'!$B$11:$B$35,"&lt;"&amp;EDATE(W$10,1))&gt;0,COUNTIFS('Exemple registre'!$C$11:$C$35,$A24,'Exemple registre'!$B$11:$B$35,"&gt;="&amp;W$10,'Exemple registre'!$B$11:$B$35,"&lt;"&amp;EDATE(W$10,1)),IF(AND($K24&lt;&gt;"",$K24&gt;=W$10,$K24&lt;EDATE(W$10,1)),"prévu","")))</f>
        <v/>
      </c>
      <c r="X24" s="25" t="str">
        <f aca="false">IF($C24="","",IF(COUNTIFS('Exemple registre'!$C$11:$C$35,$A24,'Exemple registre'!$B$11:$B$35,"&gt;="&amp;X$10,'Exemple registre'!$B$11:$B$35,"&lt;"&amp;EDATE(X$10,1))&gt;0,COUNTIFS('Exemple registre'!$C$11:$C$35,$A24,'Exemple registre'!$B$11:$B$35,"&gt;="&amp;X$10,'Exemple registre'!$B$11:$B$35,"&lt;"&amp;EDATE(X$10,1)),IF(AND($K24&lt;&gt;"",$K24&gt;=X$10,$K24&lt;EDATE(X$10,1)),"prévu","")))</f>
        <v/>
      </c>
    </row>
    <row r="25" customFormat="false" ht="24" hidden="false" customHeight="true" outlineLevel="0" collapsed="false">
      <c r="A25" s="20" t="n">
        <v>15</v>
      </c>
      <c r="B25" s="21"/>
      <c r="C25" s="21"/>
      <c r="D25" s="21"/>
      <c r="E25" s="21"/>
      <c r="F25" s="21"/>
      <c r="G25" s="22" t="str">
        <f aca="false">IF(F25="","",IFERROR(IF(INDEX(Listes!$D$4:$D$10,MATCH(F25,Listes!$C$4:$C$10,0))="","",INDEX(Listes!$D$4:$D$10,MATCH(F25,Listes!$C$4:$C$10,0))),""))</f>
        <v/>
      </c>
      <c r="H25" s="21"/>
      <c r="I25" s="23"/>
      <c r="J25" s="24" t="str">
        <f aca="false">IF($C25="","",IFERROR(IF(SUMPRODUCT(MAX(('Exemple registre'!$C$11:$C$35=$A25)*'Exemple registre'!$B$11:$B$35))=0,"",SUMPRODUCT(MAX(('Exemple registre'!$C$11:$C$35=$A25)*'Exemple registre'!$B$11:$B$35))),""))</f>
        <v/>
      </c>
      <c r="K25" s="24" t="str">
        <f aca="false">IF(OR($C25="",G25=""),"",IF(J25&lt;&gt;"",J25+G25,IF(I25&lt;&gt;"",I25,"")))</f>
        <v/>
      </c>
      <c r="L25" s="25" t="str">
        <f aca="false">IF($C25="","",IF($F25="","Fréquence à choisir",IF(G25="","Au fil de l’eau",IF(K25="","Premier passage à planifier",IF(K25&lt;$D$4,"En retard",IF(K25&lt;=$D$4+$D$6,"Passage proche","À jour"))))))</f>
        <v/>
      </c>
      <c r="M25" s="25" t="str">
        <f aca="false">IF($C25="","",IF(COUNTIFS('Exemple registre'!$C$11:$C$35,$A25,'Exemple registre'!$B$11:$B$35,"&gt;="&amp;M$10,'Exemple registre'!$B$11:$B$35,"&lt;"&amp;EDATE(M$10,1))&gt;0,COUNTIFS('Exemple registre'!$C$11:$C$35,$A25,'Exemple registre'!$B$11:$B$35,"&gt;="&amp;M$10,'Exemple registre'!$B$11:$B$35,"&lt;"&amp;EDATE(M$10,1)),IF(AND($K25&lt;&gt;"",$K25&gt;=M$10,$K25&lt;EDATE(M$10,1)),"prévu","")))</f>
        <v/>
      </c>
      <c r="N25" s="25" t="str">
        <f aca="false">IF($C25="","",IF(COUNTIFS('Exemple registre'!$C$11:$C$35,$A25,'Exemple registre'!$B$11:$B$35,"&gt;="&amp;N$10,'Exemple registre'!$B$11:$B$35,"&lt;"&amp;EDATE(N$10,1))&gt;0,COUNTIFS('Exemple registre'!$C$11:$C$35,$A25,'Exemple registre'!$B$11:$B$35,"&gt;="&amp;N$10,'Exemple registre'!$B$11:$B$35,"&lt;"&amp;EDATE(N$10,1)),IF(AND($K25&lt;&gt;"",$K25&gt;=N$10,$K25&lt;EDATE(N$10,1)),"prévu","")))</f>
        <v/>
      </c>
      <c r="O25" s="25" t="str">
        <f aca="false">IF($C25="","",IF(COUNTIFS('Exemple registre'!$C$11:$C$35,$A25,'Exemple registre'!$B$11:$B$35,"&gt;="&amp;O$10,'Exemple registre'!$B$11:$B$35,"&lt;"&amp;EDATE(O$10,1))&gt;0,COUNTIFS('Exemple registre'!$C$11:$C$35,$A25,'Exemple registre'!$B$11:$B$35,"&gt;="&amp;O$10,'Exemple registre'!$B$11:$B$35,"&lt;"&amp;EDATE(O$10,1)),IF(AND($K25&lt;&gt;"",$K25&gt;=O$10,$K25&lt;EDATE(O$10,1)),"prévu","")))</f>
        <v/>
      </c>
      <c r="P25" s="25" t="str">
        <f aca="false">IF($C25="","",IF(COUNTIFS('Exemple registre'!$C$11:$C$35,$A25,'Exemple registre'!$B$11:$B$35,"&gt;="&amp;P$10,'Exemple registre'!$B$11:$B$35,"&lt;"&amp;EDATE(P$10,1))&gt;0,COUNTIFS('Exemple registre'!$C$11:$C$35,$A25,'Exemple registre'!$B$11:$B$35,"&gt;="&amp;P$10,'Exemple registre'!$B$11:$B$35,"&lt;"&amp;EDATE(P$10,1)),IF(AND($K25&lt;&gt;"",$K25&gt;=P$10,$K25&lt;EDATE(P$10,1)),"prévu","")))</f>
        <v/>
      </c>
      <c r="Q25" s="25" t="str">
        <f aca="false">IF($C25="","",IF(COUNTIFS('Exemple registre'!$C$11:$C$35,$A25,'Exemple registre'!$B$11:$B$35,"&gt;="&amp;Q$10,'Exemple registre'!$B$11:$B$35,"&lt;"&amp;EDATE(Q$10,1))&gt;0,COUNTIFS('Exemple registre'!$C$11:$C$35,$A25,'Exemple registre'!$B$11:$B$35,"&gt;="&amp;Q$10,'Exemple registre'!$B$11:$B$35,"&lt;"&amp;EDATE(Q$10,1)),IF(AND($K25&lt;&gt;"",$K25&gt;=Q$10,$K25&lt;EDATE(Q$10,1)),"prévu","")))</f>
        <v/>
      </c>
      <c r="R25" s="25" t="str">
        <f aca="false">IF($C25="","",IF(COUNTIFS('Exemple registre'!$C$11:$C$35,$A25,'Exemple registre'!$B$11:$B$35,"&gt;="&amp;R$10,'Exemple registre'!$B$11:$B$35,"&lt;"&amp;EDATE(R$10,1))&gt;0,COUNTIFS('Exemple registre'!$C$11:$C$35,$A25,'Exemple registre'!$B$11:$B$35,"&gt;="&amp;R$10,'Exemple registre'!$B$11:$B$35,"&lt;"&amp;EDATE(R$10,1)),IF(AND($K25&lt;&gt;"",$K25&gt;=R$10,$K25&lt;EDATE(R$10,1)),"prévu","")))</f>
        <v/>
      </c>
      <c r="S25" s="25" t="str">
        <f aca="false">IF($C25="","",IF(COUNTIFS('Exemple registre'!$C$11:$C$35,$A25,'Exemple registre'!$B$11:$B$35,"&gt;="&amp;S$10,'Exemple registre'!$B$11:$B$35,"&lt;"&amp;EDATE(S$10,1))&gt;0,COUNTIFS('Exemple registre'!$C$11:$C$35,$A25,'Exemple registre'!$B$11:$B$35,"&gt;="&amp;S$10,'Exemple registre'!$B$11:$B$35,"&lt;"&amp;EDATE(S$10,1)),IF(AND($K25&lt;&gt;"",$K25&gt;=S$10,$K25&lt;EDATE(S$10,1)),"prévu","")))</f>
        <v/>
      </c>
      <c r="T25" s="25" t="str">
        <f aca="false">IF($C25="","",IF(COUNTIFS('Exemple registre'!$C$11:$C$35,$A25,'Exemple registre'!$B$11:$B$35,"&gt;="&amp;T$10,'Exemple registre'!$B$11:$B$35,"&lt;"&amp;EDATE(T$10,1))&gt;0,COUNTIFS('Exemple registre'!$C$11:$C$35,$A25,'Exemple registre'!$B$11:$B$35,"&gt;="&amp;T$10,'Exemple registre'!$B$11:$B$35,"&lt;"&amp;EDATE(T$10,1)),IF(AND($K25&lt;&gt;"",$K25&gt;=T$10,$K25&lt;EDATE(T$10,1)),"prévu","")))</f>
        <v/>
      </c>
      <c r="U25" s="25" t="str">
        <f aca="false">IF($C25="","",IF(COUNTIFS('Exemple registre'!$C$11:$C$35,$A25,'Exemple registre'!$B$11:$B$35,"&gt;="&amp;U$10,'Exemple registre'!$B$11:$B$35,"&lt;"&amp;EDATE(U$10,1))&gt;0,COUNTIFS('Exemple registre'!$C$11:$C$35,$A25,'Exemple registre'!$B$11:$B$35,"&gt;="&amp;U$10,'Exemple registre'!$B$11:$B$35,"&lt;"&amp;EDATE(U$10,1)),IF(AND($K25&lt;&gt;"",$K25&gt;=U$10,$K25&lt;EDATE(U$10,1)),"prévu","")))</f>
        <v/>
      </c>
      <c r="V25" s="25" t="str">
        <f aca="false">IF($C25="","",IF(COUNTIFS('Exemple registre'!$C$11:$C$35,$A25,'Exemple registre'!$B$11:$B$35,"&gt;="&amp;V$10,'Exemple registre'!$B$11:$B$35,"&lt;"&amp;EDATE(V$10,1))&gt;0,COUNTIFS('Exemple registre'!$C$11:$C$35,$A25,'Exemple registre'!$B$11:$B$35,"&gt;="&amp;V$10,'Exemple registre'!$B$11:$B$35,"&lt;"&amp;EDATE(V$10,1)),IF(AND($K25&lt;&gt;"",$K25&gt;=V$10,$K25&lt;EDATE(V$10,1)),"prévu","")))</f>
        <v/>
      </c>
      <c r="W25" s="25" t="str">
        <f aca="false">IF($C25="","",IF(COUNTIFS('Exemple registre'!$C$11:$C$35,$A25,'Exemple registre'!$B$11:$B$35,"&gt;="&amp;W$10,'Exemple registre'!$B$11:$B$35,"&lt;"&amp;EDATE(W$10,1))&gt;0,COUNTIFS('Exemple registre'!$C$11:$C$35,$A25,'Exemple registre'!$B$11:$B$35,"&gt;="&amp;W$10,'Exemple registre'!$B$11:$B$35,"&lt;"&amp;EDATE(W$10,1)),IF(AND($K25&lt;&gt;"",$K25&gt;=W$10,$K25&lt;EDATE(W$10,1)),"prévu","")))</f>
        <v/>
      </c>
      <c r="X25" s="25" t="str">
        <f aca="false">IF($C25="","",IF(COUNTIFS('Exemple registre'!$C$11:$C$35,$A25,'Exemple registre'!$B$11:$B$35,"&gt;="&amp;X$10,'Exemple registre'!$B$11:$B$35,"&lt;"&amp;EDATE(X$10,1))&gt;0,COUNTIFS('Exemple registre'!$C$11:$C$35,$A25,'Exemple registre'!$B$11:$B$35,"&gt;="&amp;X$10,'Exemple registre'!$B$11:$B$35,"&lt;"&amp;EDATE(X$10,1)),IF(AND($K25&lt;&gt;"",$K25&gt;=X$10,$K25&lt;EDATE(X$10,1)),"prévu","")))</f>
        <v/>
      </c>
    </row>
  </sheetData>
  <mergeCells count="8">
    <mergeCell ref="A4:C4"/>
    <mergeCell ref="H4:L8"/>
    <mergeCell ref="A5:C5"/>
    <mergeCell ref="A6:C6"/>
    <mergeCell ref="A9:E9"/>
    <mergeCell ref="F9:I9"/>
    <mergeCell ref="J9:L9"/>
    <mergeCell ref="M9:X9"/>
  </mergeCells>
  <conditionalFormatting sqref="L11:L25">
    <cfRule type="expression" priority="2" aboveAverage="0" equalAverage="0" bottom="0" percent="0" rank="0" text="" dxfId="0">
      <formula>$L11="En retard"</formula>
    </cfRule>
    <cfRule type="expression" priority="3" aboveAverage="0" equalAverage="0" bottom="0" percent="0" rank="0" text="" dxfId="1">
      <formula>$L11="Passage proche"</formula>
    </cfRule>
    <cfRule type="expression" priority="4" aboveAverage="0" equalAverage="0" bottom="0" percent="0" rank="0" text="" dxfId="2">
      <formula>$L11="À jour"</formula>
    </cfRule>
    <cfRule type="expression" priority="5" aboveAverage="0" equalAverage="0" bottom="0" percent="0" rank="0" text="" dxfId="3">
      <formula>$L11="Fréquence à choisir"</formula>
    </cfRule>
    <cfRule type="expression" priority="6" aboveAverage="0" equalAverage="0" bottom="0" percent="0" rank="0" text="" dxfId="3">
      <formula>$L11="Premier passage à planifier"</formula>
    </cfRule>
  </conditionalFormatting>
  <conditionalFormatting sqref="K11:K25">
    <cfRule type="expression" priority="7" aboveAverage="0" equalAverage="0" bottom="0" percent="0" rank="0" text="" dxfId="0">
      <formula>AND($K11&lt;&gt;"",$K11&lt;$D$4)</formula>
    </cfRule>
  </conditionalFormatting>
  <conditionalFormatting sqref="H11:H25">
    <cfRule type="expression" priority="8" aboveAverage="0" equalAverage="0" bottom="0" percent="0" rank="0" text="" dxfId="4">
      <formula>AND($C11&lt;&gt;"",$H11="")</formula>
    </cfRule>
  </conditionalFormatting>
  <conditionalFormatting sqref="F11:F25">
    <cfRule type="expression" priority="9" aboveAverage="0" equalAverage="0" bottom="0" percent="0" rank="0" text="" dxfId="4">
      <formula>AND($C11&lt;&gt;"",$F11="")</formula>
    </cfRule>
  </conditionalFormatting>
  <conditionalFormatting sqref="M10:X10">
    <cfRule type="expression" priority="10" aboveAverage="0" equalAverage="0" bottom="0" percent="0" rank="0" text="" dxfId="5">
      <formula>AND($D$4&gt;=M$10,$D$4&lt;EDATE(M$10,1))</formula>
    </cfRule>
  </conditionalFormatting>
  <conditionalFormatting sqref="M11:X25">
    <cfRule type="expression" priority="11" aboveAverage="0" equalAverage="0" bottom="0" percent="0" rank="0" text="" dxfId="0">
      <formula>AND(M11="prévu",EDATE(M$10,1)&lt;=$D$4)</formula>
    </cfRule>
    <cfRule type="expression" priority="12" aboveAverage="0" equalAverage="0" bottom="0" percent="0" rank="0" text="" dxfId="1">
      <formula>M11="prévu"</formula>
    </cfRule>
    <cfRule type="expression" priority="13" aboveAverage="0" equalAverage="0" bottom="0" percent="0" rank="0" text="" dxfId="6">
      <formula>AND(ISNUMBER(M11),M11&gt;0)</formula>
    </cfRule>
  </conditionalFormatting>
  <dataValidations count="3">
    <dataValidation allowBlank="true" errorStyle="stop" operator="between" showDropDown="false" showErrorMessage="false" showInputMessage="false" sqref="B11:B25" type="list">
      <formula1>Listes!$A$4:$A$6</formula1>
      <formula2>0</formula2>
    </dataValidation>
    <dataValidation allowBlank="true" errorStyle="stop" operator="between" showDropDown="false" showErrorMessage="false" showInputMessage="false" sqref="D11:D25" type="list">
      <formula1>Listes!$B$4:$B$13</formula1>
      <formula2>0</formula2>
    </dataValidation>
    <dataValidation allowBlank="true" errorStyle="stop" operator="between" showDropDown="false" showErrorMessage="false" showInputMessage="false" sqref="F11:F25" type="list">
      <formula1>Listes!$C$4:$C$10</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S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9"/>
    <col collapsed="false" customWidth="true" hidden="false" outlineLevel="0" max="4" min="4" style="0" width="22"/>
    <col collapsed="false" customWidth="true" hidden="false" outlineLevel="0" max="5" min="5" style="0" width="28"/>
    <col collapsed="false" customWidth="true" hidden="false" outlineLevel="0" max="6" min="6" style="0" width="14"/>
    <col collapsed="false" customWidth="true" hidden="false" outlineLevel="0" max="7" min="7" style="0" width="30"/>
    <col collapsed="false" customWidth="true" hidden="false" outlineLevel="0" max="8" min="8" style="0" width="18"/>
    <col collapsed="false" customWidth="true" hidden="false" outlineLevel="0" max="9" min="9" style="0" width="26"/>
    <col collapsed="false" customWidth="true" hidden="false" outlineLevel="0" max="10" min="10" style="0" width="11"/>
    <col collapsed="false" customWidth="true" hidden="false" outlineLevel="0" max="11" min="11" style="0" width="16"/>
    <col collapsed="false" customWidth="true" hidden="false" outlineLevel="0" max="12" min="12" style="0" width="10"/>
    <col collapsed="false" customWidth="true" hidden="false" outlineLevel="0" max="13" min="13" style="0" width="20"/>
    <col collapsed="false" customWidth="true" hidden="false" outlineLevel="0" max="14" min="14" style="0" width="26"/>
    <col collapsed="false" customWidth="true" hidden="false" outlineLevel="0" max="15" min="15" style="0" width="15"/>
    <col collapsed="false" customWidth="true" hidden="false" outlineLevel="0" max="17" min="16" style="0" width="11"/>
    <col collapsed="false" customWidth="true" hidden="false" outlineLevel="0" max="18" min="18" style="0" width="22"/>
    <col collapsed="false" customWidth="true" hidden="false" outlineLevel="0" max="19" min="19" style="0" width="18"/>
  </cols>
  <sheetData>
    <row r="1" customFormat="false" ht="21.75" hidden="false" customHeight="true" outlineLevel="0" collapsed="false">
      <c r="A1" s="1" t="s">
        <v>86</v>
      </c>
      <c r="B1" s="2"/>
      <c r="C1" s="2"/>
      <c r="D1" s="2"/>
      <c r="E1" s="2"/>
      <c r="F1" s="2"/>
      <c r="G1" s="2"/>
      <c r="H1" s="2"/>
      <c r="I1" s="2"/>
      <c r="J1" s="2"/>
      <c r="K1" s="2"/>
      <c r="L1" s="2"/>
      <c r="M1" s="2"/>
      <c r="N1" s="2"/>
      <c r="O1" s="2"/>
      <c r="P1" s="2"/>
      <c r="Q1" s="2"/>
      <c r="R1" s="2"/>
      <c r="S1" s="2"/>
    </row>
    <row r="2" customFormat="false" ht="25.5" hidden="false" customHeight="true" outlineLevel="0" collapsed="false">
      <c r="A2" s="3" t="s">
        <v>216</v>
      </c>
    </row>
    <row r="3" customFormat="false" ht="15" hidden="false" customHeight="false" outlineLevel="0" collapsed="false">
      <c r="A3" s="10" t="s">
        <v>217</v>
      </c>
    </row>
    <row r="4" customFormat="false" ht="27.75" hidden="false" customHeight="true" outlineLevel="0" collapsed="false">
      <c r="A4" s="11" t="s">
        <v>31</v>
      </c>
      <c r="B4" s="11"/>
      <c r="C4" s="11"/>
      <c r="D4" s="26" t="n">
        <f aca="false">'Exemple planning'!$D$4</f>
        <v>46317</v>
      </c>
      <c r="F4" s="11" t="s">
        <v>89</v>
      </c>
      <c r="G4" s="11"/>
      <c r="H4" s="13" t="n">
        <f aca="false">COUNT(B11:B35)</f>
        <v>22</v>
      </c>
      <c r="J4" s="14" t="s">
        <v>90</v>
      </c>
      <c r="K4" s="14"/>
      <c r="L4" s="14"/>
      <c r="M4" s="14"/>
      <c r="N4" s="14"/>
      <c r="O4" s="14"/>
      <c r="P4" s="14"/>
    </row>
    <row r="5" customFormat="false" ht="27.75" hidden="false" customHeight="true" outlineLevel="0" collapsed="false">
      <c r="A5" s="27" t="s">
        <v>91</v>
      </c>
      <c r="B5" s="27"/>
      <c r="C5" s="27"/>
      <c r="D5" s="27"/>
      <c r="F5" s="11" t="s">
        <v>92</v>
      </c>
      <c r="G5" s="11"/>
      <c r="H5" s="13" t="n">
        <f aca="false">SUMPRODUCT(--(S11:S35&lt;&gt;""))-COUNTIF(S11:S35,"Exploité")-COUNTIF(S11:S35,"Sans suite")</f>
        <v>3</v>
      </c>
      <c r="J5" s="14"/>
      <c r="K5" s="14"/>
      <c r="L5" s="14"/>
      <c r="M5" s="14"/>
      <c r="N5" s="14"/>
      <c r="O5" s="14"/>
      <c r="P5" s="14"/>
    </row>
    <row r="6" customFormat="false" ht="27.75" hidden="false" customHeight="true" outlineLevel="0" collapsed="false">
      <c r="A6" s="27" t="s">
        <v>93</v>
      </c>
      <c r="B6" s="27"/>
      <c r="C6" s="27"/>
      <c r="D6" s="27"/>
      <c r="F6" s="11" t="s">
        <v>94</v>
      </c>
      <c r="G6" s="11"/>
      <c r="H6" s="13" t="n">
        <f aca="false">COUNTIF(S11:S35,"À diffuser")</f>
        <v>0</v>
      </c>
      <c r="J6" s="14"/>
      <c r="K6" s="14"/>
      <c r="L6" s="14"/>
      <c r="M6" s="14"/>
      <c r="N6" s="14"/>
      <c r="O6" s="14"/>
      <c r="P6" s="14"/>
    </row>
    <row r="7" customFormat="false" ht="27.75" hidden="false" customHeight="true" outlineLevel="0" collapsed="false">
      <c r="A7" s="27" t="s">
        <v>95</v>
      </c>
      <c r="B7" s="27"/>
      <c r="C7" s="27"/>
      <c r="D7" s="27"/>
      <c r="F7" s="11" t="s">
        <v>96</v>
      </c>
      <c r="G7" s="11"/>
      <c r="H7" s="13" t="n">
        <f aca="false">COUNTIF(S11:S35,"Action en retard")</f>
        <v>1</v>
      </c>
      <c r="J7" s="14"/>
      <c r="K7" s="14"/>
      <c r="L7" s="14"/>
      <c r="M7" s="14"/>
      <c r="N7" s="14"/>
      <c r="O7" s="14"/>
      <c r="P7" s="14"/>
    </row>
    <row r="8" customFormat="false" ht="27.75" hidden="false" customHeight="true" outlineLevel="0" collapsed="false">
      <c r="F8" s="11" t="s">
        <v>97</v>
      </c>
      <c r="G8" s="11"/>
      <c r="H8" s="28" t="n">
        <f aca="false">IFERROR(AVERAGE(L11:L35),"")</f>
        <v>1.6</v>
      </c>
      <c r="J8" s="14"/>
      <c r="K8" s="14"/>
      <c r="L8" s="14"/>
      <c r="M8" s="14"/>
      <c r="N8" s="14"/>
      <c r="O8" s="14"/>
      <c r="P8" s="14"/>
    </row>
    <row r="9" customFormat="false" ht="19.5" hidden="false" customHeight="true" outlineLevel="0" collapsed="false">
      <c r="A9" s="16" t="s">
        <v>98</v>
      </c>
      <c r="B9" s="16"/>
      <c r="C9" s="16"/>
      <c r="D9" s="16"/>
      <c r="E9" s="16"/>
      <c r="F9" s="16"/>
      <c r="G9" s="17" t="s">
        <v>99</v>
      </c>
      <c r="H9" s="17"/>
      <c r="I9" s="17"/>
      <c r="J9" s="16" t="s">
        <v>100</v>
      </c>
      <c r="K9" s="16"/>
      <c r="L9" s="16"/>
      <c r="M9" s="17" t="s">
        <v>101</v>
      </c>
      <c r="N9" s="17"/>
      <c r="O9" s="17"/>
      <c r="P9" s="17"/>
      <c r="Q9" s="17"/>
      <c r="R9" s="17"/>
      <c r="S9" s="16" t="s">
        <v>102</v>
      </c>
    </row>
    <row r="10" customFormat="false" ht="43.5" hidden="false" customHeight="true" outlineLevel="0" collapsed="false">
      <c r="A10" s="18" t="s">
        <v>44</v>
      </c>
      <c r="B10" s="18" t="s">
        <v>103</v>
      </c>
      <c r="C10" s="18" t="s">
        <v>104</v>
      </c>
      <c r="D10" s="18" t="s">
        <v>45</v>
      </c>
      <c r="E10" s="18" t="s">
        <v>105</v>
      </c>
      <c r="F10" s="18" t="s">
        <v>106</v>
      </c>
      <c r="G10" s="18" t="s">
        <v>107</v>
      </c>
      <c r="H10" s="18" t="s">
        <v>108</v>
      </c>
      <c r="I10" s="18" t="s">
        <v>109</v>
      </c>
      <c r="J10" s="18" t="s">
        <v>110</v>
      </c>
      <c r="K10" s="18" t="s">
        <v>111</v>
      </c>
      <c r="L10" s="18" t="s">
        <v>112</v>
      </c>
      <c r="M10" s="18" t="s">
        <v>113</v>
      </c>
      <c r="N10" s="18" t="s">
        <v>114</v>
      </c>
      <c r="O10" s="18" t="s">
        <v>115</v>
      </c>
      <c r="P10" s="18" t="s">
        <v>116</v>
      </c>
      <c r="Q10" s="18" t="s">
        <v>117</v>
      </c>
      <c r="R10" s="18" t="s">
        <v>118</v>
      </c>
      <c r="S10" s="18" t="s">
        <v>119</v>
      </c>
    </row>
    <row r="11" customFormat="false" ht="57.75" hidden="false" customHeight="true" outlineLevel="0" collapsed="false">
      <c r="A11" s="20" t="n">
        <v>1</v>
      </c>
      <c r="B11" s="23" t="n">
        <v>46099</v>
      </c>
      <c r="C11" s="29" t="n">
        <v>10</v>
      </c>
      <c r="D11" s="30" t="str">
        <f aca="false">IF($C11="","",IFERROR(INDEX('Exemple planning'!$B$11:$B$25,MATCH($C11,'Exemple planning'!$A$11:$A$25,0))&amp;"","Source inconnue"))</f>
        <v>Innovations pédagogiques et technologiques (indicateur 25)</v>
      </c>
      <c r="E11" s="30" t="str">
        <f aca="false">IF($C11="","",IFERROR(INDEX('Exemple planning'!$C$11:$C$25,MATCH($C11,'Exemple planning'!$A$11:$A$25,0))&amp;"",""))</f>
        <v>Salon professionnel de la formation (visite annuelle)</v>
      </c>
      <c r="F11" s="21" t="s">
        <v>191</v>
      </c>
      <c r="G11" s="21" t="s">
        <v>218</v>
      </c>
      <c r="H11" s="21" t="s">
        <v>219</v>
      </c>
      <c r="I11" s="21" t="s">
        <v>220</v>
      </c>
      <c r="J11" s="23" t="n">
        <v>46105</v>
      </c>
      <c r="K11" s="21" t="s">
        <v>221</v>
      </c>
      <c r="L11" s="22" t="n">
        <f aca="false">IF(AND(B11&lt;&gt;"",J11&lt;&gt;""),J11-B11,"")</f>
        <v>6</v>
      </c>
      <c r="M11" s="21" t="s">
        <v>222</v>
      </c>
      <c r="N11" s="21" t="s">
        <v>223</v>
      </c>
      <c r="O11" s="21" t="s">
        <v>191</v>
      </c>
      <c r="P11" s="23" t="n">
        <v>46203</v>
      </c>
      <c r="Q11" s="23" t="n">
        <v>46199</v>
      </c>
      <c r="R11" s="21" t="s">
        <v>224</v>
      </c>
      <c r="S11" s="25" t="str">
        <f aca="false">IF(AND(B11="",G11=""),"",IF(H11="","Pertinence à évaluer",IF(H11="Sans objet pour nous","Sans suite",IF(J11="","À diffuser",IF(I11="","Enseignement à rédiger",IF(H11="Utile à l’équipe","Exploité",IF(M11="","Impact à évaluer",IF(AND(M11&lt;&gt;"Aucun",N11=""),"Action à définir",IF(AND(N11&lt;&gt;"",Q11=""),IF(AND(P11&lt;&gt;"",P11&lt;$D$4),"Action en retard","Action en cours"),"Exploité")))))))))</f>
        <v>Exploité</v>
      </c>
    </row>
    <row r="12" customFormat="false" ht="45" hidden="false" customHeight="true" outlineLevel="0" collapsed="false">
      <c r="A12" s="20" t="n">
        <v>2</v>
      </c>
      <c r="B12" s="23" t="n">
        <v>46183</v>
      </c>
      <c r="C12" s="29" t="n">
        <v>8</v>
      </c>
      <c r="D12" s="30" t="str">
        <f aca="false">IF($C12="","",IFERROR(INDEX('Exemple planning'!$B$11:$B$25,MATCH($C12,'Exemple planning'!$A$11:$A$25,0))&amp;"","Source inconnue"))</f>
        <v>Métiers, compétences et emplois (indicateur 24)</v>
      </c>
      <c r="E12" s="30" t="str">
        <f aca="false">IF($C12="","",IFERROR(INDEX('Exemple planning'!$C$11:$C$25,MATCH($C12,'Exemple planning'!$A$11:$A$25,0))&amp;"",""))</f>
        <v>Fiches et référentiels des certifications que nous préparons</v>
      </c>
      <c r="F12" s="21" t="s">
        <v>191</v>
      </c>
      <c r="G12" s="21" t="s">
        <v>225</v>
      </c>
      <c r="H12" s="21" t="s">
        <v>226</v>
      </c>
      <c r="I12" s="21" t="s">
        <v>227</v>
      </c>
      <c r="J12" s="23"/>
      <c r="K12" s="21"/>
      <c r="L12" s="22" t="str">
        <f aca="false">IF(AND(B12&lt;&gt;"",J12&lt;&gt;""),J12-B12,"")</f>
        <v/>
      </c>
      <c r="M12" s="21"/>
      <c r="N12" s="21"/>
      <c r="O12" s="21"/>
      <c r="P12" s="23"/>
      <c r="Q12" s="23"/>
      <c r="R12" s="21"/>
      <c r="S12" s="25" t="str">
        <f aca="false">IF(AND(B12="",G12=""),"",IF(H12="","Pertinence à évaluer",IF(H12="Sans objet pour nous","Sans suite",IF(J12="","À diffuser",IF(I12="","Enseignement à rédiger",IF(H12="Utile à l’équipe","Exploité",IF(M12="","Impact à évaluer",IF(AND(M12&lt;&gt;"Aucun",N12=""),"Action à définir",IF(AND(N12&lt;&gt;"",Q12=""),IF(AND(P12&lt;&gt;"",P12&lt;$D$4),"Action en retard","Action en cours"),"Exploité")))))))))</f>
        <v>Sans suite</v>
      </c>
    </row>
    <row r="13" customFormat="false" ht="57.75" hidden="false" customHeight="true" outlineLevel="0" collapsed="false">
      <c r="A13" s="20" t="n">
        <v>3</v>
      </c>
      <c r="B13" s="23" t="n">
        <v>46209</v>
      </c>
      <c r="C13" s="29" t="n">
        <v>1</v>
      </c>
      <c r="D13" s="30" t="str">
        <f aca="false">IF($C13="","",IFERROR(INDEX('Exemple planning'!$B$11:$B$25,MATCH($C13,'Exemple planning'!$A$11:$A$25,0))&amp;"","Source inconnue"))</f>
        <v>Légale et réglementaire (indicateur 23)</v>
      </c>
      <c r="E13" s="30" t="str">
        <f aca="false">IF($C13="","",IFERROR(INDEX('Exemple planning'!$C$11:$C$25,MATCH($C13,'Exemple planning'!$A$11:$A$25,0))&amp;"",""))</f>
        <v>Journal officiel et textes du code du travail (consultation de Légifrance)</v>
      </c>
      <c r="F13" s="21" t="s">
        <v>190</v>
      </c>
      <c r="G13" s="21" t="s">
        <v>228</v>
      </c>
      <c r="H13" s="21" t="s">
        <v>226</v>
      </c>
      <c r="I13" s="21" t="s">
        <v>229</v>
      </c>
      <c r="J13" s="23"/>
      <c r="K13" s="21"/>
      <c r="L13" s="22" t="str">
        <f aca="false">IF(AND(B13&lt;&gt;"",J13&lt;&gt;""),J13-B13,"")</f>
        <v/>
      </c>
      <c r="M13" s="21"/>
      <c r="N13" s="21"/>
      <c r="O13" s="21"/>
      <c r="P13" s="23"/>
      <c r="Q13" s="23"/>
      <c r="R13" s="21"/>
      <c r="S13" s="25" t="str">
        <f aca="false">IF(AND(B13="",G13=""),"",IF(H13="","Pertinence à évaluer",IF(H13="Sans objet pour nous","Sans suite",IF(J13="","À diffuser",IF(I13="","Enseignement à rédiger",IF(H13="Utile à l’équipe","Exploité",IF(M13="","Impact à évaluer",IF(AND(M13&lt;&gt;"Aucun",N13=""),"Action à définir",IF(AND(N13&lt;&gt;"",Q13=""),IF(AND(P13&lt;&gt;"",P13&lt;$D$4),"Action en retard","Action en cours"),"Exploité")))))))))</f>
        <v>Sans suite</v>
      </c>
    </row>
    <row r="14" customFormat="false" ht="57.75" hidden="false" customHeight="true" outlineLevel="0" collapsed="false">
      <c r="A14" s="20" t="n">
        <v>4</v>
      </c>
      <c r="B14" s="23" t="n">
        <v>46209</v>
      </c>
      <c r="C14" s="29" t="n">
        <v>7</v>
      </c>
      <c r="D14" s="30" t="str">
        <f aca="false">IF($C14="","",IFERROR(INDEX('Exemple planning'!$B$11:$B$25,MATCH($C14,'Exemple planning'!$A$11:$A$25,0))&amp;"","Source inconnue"))</f>
        <v>Métiers, compétences et emplois (indicateur 24)</v>
      </c>
      <c r="E14" s="30" t="str">
        <f aca="false">IF($C14="","",IFERROR(INDEX('Exemple planning'!$C$11:$C$25,MATCH($C14,'Exemple planning'!$A$11:$A$25,0))&amp;"",""))</f>
        <v>Revue professionnelle de la formation et du management (abonnement)</v>
      </c>
      <c r="F14" s="21" t="s">
        <v>191</v>
      </c>
      <c r="G14" s="21" t="s">
        <v>230</v>
      </c>
      <c r="H14" s="21" t="s">
        <v>219</v>
      </c>
      <c r="I14" s="21" t="s">
        <v>231</v>
      </c>
      <c r="J14" s="23" t="n">
        <v>46211</v>
      </c>
      <c r="K14" s="21" t="s">
        <v>221</v>
      </c>
      <c r="L14" s="22" t="n">
        <f aca="false">IF(AND(B14&lt;&gt;"",J14&lt;&gt;""),J14-B14,"")</f>
        <v>2</v>
      </c>
      <c r="M14" s="21" t="s">
        <v>232</v>
      </c>
      <c r="N14" s="21" t="s">
        <v>233</v>
      </c>
      <c r="O14" s="21" t="s">
        <v>191</v>
      </c>
      <c r="P14" s="23" t="n">
        <v>46295</v>
      </c>
      <c r="Q14" s="23" t="n">
        <v>46283</v>
      </c>
      <c r="R14" s="21" t="s">
        <v>234</v>
      </c>
      <c r="S14" s="25" t="str">
        <f aca="false">IF(AND(B14="",G14=""),"",IF(H14="","Pertinence à évaluer",IF(H14="Sans objet pour nous","Sans suite",IF(J14="","À diffuser",IF(I14="","Enseignement à rédiger",IF(H14="Utile à l’équipe","Exploité",IF(M14="","Impact à évaluer",IF(AND(M14&lt;&gt;"Aucun",N14=""),"Action à définir",IF(AND(N14&lt;&gt;"",Q14=""),IF(AND(P14&lt;&gt;"",P14&lt;$D$4),"Action en retard","Action en cours"),"Exploité")))))))))</f>
        <v>Exploité</v>
      </c>
    </row>
    <row r="15" customFormat="false" ht="57.75" hidden="false" customHeight="true" outlineLevel="0" collapsed="false">
      <c r="A15" s="20" t="n">
        <v>5</v>
      </c>
      <c r="B15" s="23" t="n">
        <v>46212</v>
      </c>
      <c r="C15" s="29" t="n">
        <v>11</v>
      </c>
      <c r="D15" s="30" t="str">
        <f aca="false">IF($C15="","",IFERROR(INDEX('Exemple planning'!$B$11:$B$25,MATCH($C15,'Exemple planning'!$A$11:$A$25,0))&amp;"","Source inconnue"))</f>
        <v>Innovations pédagogiques et technologiques (indicateur 25)</v>
      </c>
      <c r="E15" s="30" t="str">
        <f aca="false">IF($C15="","",IFERROR(INDEX('Exemple planning'!$C$11:$C$25,MATCH($C15,'Exemple planning'!$A$11:$A$25,0))&amp;"",""))</f>
        <v>Groupe d’analyse de pratiques entre formateurs</v>
      </c>
      <c r="F15" s="21" t="s">
        <v>191</v>
      </c>
      <c r="G15" s="21" t="s">
        <v>235</v>
      </c>
      <c r="H15" s="21" t="s">
        <v>236</v>
      </c>
      <c r="I15" s="21" t="s">
        <v>237</v>
      </c>
      <c r="J15" s="23" t="n">
        <v>46213</v>
      </c>
      <c r="K15" s="21" t="s">
        <v>221</v>
      </c>
      <c r="L15" s="22" t="n">
        <f aca="false">IF(AND(B15&lt;&gt;"",J15&lt;&gt;""),J15-B15,"")</f>
        <v>1</v>
      </c>
      <c r="M15" s="21"/>
      <c r="N15" s="21"/>
      <c r="O15" s="21"/>
      <c r="P15" s="23"/>
      <c r="Q15" s="23"/>
      <c r="R15" s="21"/>
      <c r="S15" s="25" t="str">
        <f aca="false">IF(AND(B15="",G15=""),"",IF(H15="","Pertinence à évaluer",IF(H15="Sans objet pour nous","Sans suite",IF(J15="","À diffuser",IF(I15="","Enseignement à rédiger",IF(H15="Utile à l’équipe","Exploité",IF(M15="","Impact à évaluer",IF(AND(M15&lt;&gt;"Aucun",N15=""),"Action à définir",IF(AND(N15&lt;&gt;"",Q15=""),IF(AND(P15&lt;&gt;"",P15&lt;$D$4),"Action en retard","Action en cours"),"Exploité")))))))))</f>
        <v>Exploité</v>
      </c>
    </row>
    <row r="16" customFormat="false" ht="57.75" hidden="false" customHeight="true" outlineLevel="0" collapsed="false">
      <c r="A16" s="20" t="n">
        <v>6</v>
      </c>
      <c r="B16" s="23" t="n">
        <v>46217</v>
      </c>
      <c r="C16" s="29" t="n">
        <v>12</v>
      </c>
      <c r="D16" s="30" t="str">
        <f aca="false">IF($C16="","",IFERROR(INDEX('Exemple planning'!$B$11:$B$25,MATCH($C16,'Exemple planning'!$A$11:$A$25,0))&amp;"","Source inconnue"))</f>
        <v>Innovations pédagogiques et technologiques (indicateur 25)</v>
      </c>
      <c r="E16" s="30" t="str">
        <f aca="false">IF($C16="","",IFERROR(INDEX('Exemple planning'!$C$11:$C$25,MATCH($C16,'Exemple planning'!$A$11:$A$25,0))&amp;"",""))</f>
        <v>Webinaires et lettres des éditeurs de plateformes et d’outils de classe virtuelle</v>
      </c>
      <c r="F16" s="21" t="s">
        <v>193</v>
      </c>
      <c r="G16" s="21" t="s">
        <v>238</v>
      </c>
      <c r="H16" s="21" t="s">
        <v>219</v>
      </c>
      <c r="I16" s="21" t="s">
        <v>239</v>
      </c>
      <c r="J16" s="23" t="n">
        <v>46218</v>
      </c>
      <c r="K16" s="21" t="s">
        <v>240</v>
      </c>
      <c r="L16" s="22" t="n">
        <f aca="false">IF(AND(B16&lt;&gt;"",J16&lt;&gt;""),J16-B16,"")</f>
        <v>1</v>
      </c>
      <c r="M16" s="21" t="s">
        <v>241</v>
      </c>
      <c r="N16" s="21" t="s">
        <v>242</v>
      </c>
      <c r="O16" s="21" t="s">
        <v>193</v>
      </c>
      <c r="P16" s="23" t="n">
        <v>46295</v>
      </c>
      <c r="Q16" s="23"/>
      <c r="R16" s="21"/>
      <c r="S16" s="25" t="str">
        <f aca="false">IF(AND(B16="",G16=""),"",IF(H16="","Pertinence à évaluer",IF(H16="Sans objet pour nous","Sans suite",IF(J16="","À diffuser",IF(I16="","Enseignement à rédiger",IF(H16="Utile à l’équipe","Exploité",IF(M16="","Impact à évaluer",IF(AND(M16&lt;&gt;"Aucun",N16=""),"Action à définir",IF(AND(N16&lt;&gt;"",Q16=""),IF(AND(P16&lt;&gt;"",P16&lt;$D$4),"Action en retard","Action en cours"),"Exploité")))))))))</f>
        <v>Action en retard</v>
      </c>
    </row>
    <row r="17" customFormat="false" ht="45" hidden="false" customHeight="true" outlineLevel="0" collapsed="false">
      <c r="A17" s="20" t="n">
        <v>7</v>
      </c>
      <c r="B17" s="23" t="n">
        <v>46218</v>
      </c>
      <c r="C17" s="29" t="n">
        <v>3</v>
      </c>
      <c r="D17" s="30" t="str">
        <f aca="false">IF($C17="","",IFERROR(INDEX('Exemple planning'!$B$11:$B$25,MATCH($C17,'Exemple planning'!$A$11:$A$25,0))&amp;"","Source inconnue"))</f>
        <v>Légale et réglementaire (indicateur 23)</v>
      </c>
      <c r="E17" s="30" t="str">
        <f aca="false">IF($C17="","",IFERROR(INDEX('Exemple planning'!$C$11:$C$25,MATCH($C17,'Exemple planning'!$A$11:$A$25,0))&amp;"",""))</f>
        <v>Portail d’information des organismes de formation de la Caisse des dépôts</v>
      </c>
      <c r="F17" s="21" t="s">
        <v>193</v>
      </c>
      <c r="G17" s="21" t="s">
        <v>243</v>
      </c>
      <c r="H17" s="21" t="s">
        <v>236</v>
      </c>
      <c r="I17" s="21" t="s">
        <v>244</v>
      </c>
      <c r="J17" s="23" t="n">
        <v>46219</v>
      </c>
      <c r="K17" s="21" t="s">
        <v>240</v>
      </c>
      <c r="L17" s="22" t="n">
        <f aca="false">IF(AND(B17&lt;&gt;"",J17&lt;&gt;""),J17-B17,"")</f>
        <v>1</v>
      </c>
      <c r="M17" s="21"/>
      <c r="N17" s="21"/>
      <c r="O17" s="21"/>
      <c r="P17" s="23"/>
      <c r="Q17" s="23"/>
      <c r="R17" s="21"/>
      <c r="S17" s="25" t="str">
        <f aca="false">IF(AND(B17="",G17=""),"",IF(H17="","Pertinence à évaluer",IF(H17="Sans objet pour nous","Sans suite",IF(J17="","À diffuser",IF(I17="","Enseignement à rédiger",IF(H17="Utile à l’équipe","Exploité",IF(M17="","Impact à évaluer",IF(AND(M17&lt;&gt;"Aucun",N17=""),"Action à définir",IF(AND(N17&lt;&gt;"",Q17=""),IF(AND(P17&lt;&gt;"",P17&lt;$D$4),"Action en retard","Action en cours"),"Exploité")))))))))</f>
        <v>Exploité</v>
      </c>
    </row>
    <row r="18" customFormat="false" ht="45" hidden="false" customHeight="true" outlineLevel="0" collapsed="false">
      <c r="A18" s="20" t="n">
        <v>8</v>
      </c>
      <c r="B18" s="23" t="n">
        <v>46233</v>
      </c>
      <c r="C18" s="29" t="n">
        <v>2</v>
      </c>
      <c r="D18" s="30" t="str">
        <f aca="false">IF($C18="","",IFERROR(INDEX('Exemple planning'!$B$11:$B$25,MATCH($C18,'Exemple planning'!$A$11:$A$25,0))&amp;"","Source inconnue"))</f>
        <v>Légale et réglementaire (indicateur 23)</v>
      </c>
      <c r="E18" s="30" t="str">
        <f aca="false">IF($C18="","",IFERROR(INDEX('Exemple planning'!$C$11:$C$25,MATCH($C18,'Exemple planning'!$A$11:$A$25,0))&amp;"",""))</f>
        <v>Pages formation professionnelle du site du ministère du Travail</v>
      </c>
      <c r="F18" s="21" t="s">
        <v>191</v>
      </c>
      <c r="G18" s="21" t="s">
        <v>245</v>
      </c>
      <c r="H18" s="21" t="s">
        <v>226</v>
      </c>
      <c r="I18" s="21" t="s">
        <v>229</v>
      </c>
      <c r="J18" s="23"/>
      <c r="K18" s="21"/>
      <c r="L18" s="22" t="str">
        <f aca="false">IF(AND(B18&lt;&gt;"",J18&lt;&gt;""),J18-B18,"")</f>
        <v/>
      </c>
      <c r="M18" s="21"/>
      <c r="N18" s="21"/>
      <c r="O18" s="21"/>
      <c r="P18" s="23"/>
      <c r="Q18" s="23"/>
      <c r="R18" s="21"/>
      <c r="S18" s="25" t="str">
        <f aca="false">IF(AND(B18="",G18=""),"",IF(H18="","Pertinence à évaluer",IF(H18="Sans objet pour nous","Sans suite",IF(J18="","À diffuser",IF(I18="","Enseignement à rédiger",IF(H18="Utile à l’équipe","Exploité",IF(M18="","Impact à évaluer",IF(AND(M18&lt;&gt;"Aucun",N18=""),"Action à définir",IF(AND(N18&lt;&gt;"",Q18=""),IF(AND(P18&lt;&gt;"",P18&lt;$D$4),"Action en retard","Action en cours"),"Exploité")))))))))</f>
        <v>Sans suite</v>
      </c>
    </row>
    <row r="19" customFormat="false" ht="57.75" hidden="false" customHeight="true" outlineLevel="0" collapsed="false">
      <c r="A19" s="20" t="n">
        <v>9</v>
      </c>
      <c r="B19" s="23" t="n">
        <v>46237</v>
      </c>
      <c r="C19" s="29" t="n">
        <v>1</v>
      </c>
      <c r="D19" s="30" t="str">
        <f aca="false">IF($C19="","",IFERROR(INDEX('Exemple planning'!$B$11:$B$25,MATCH($C19,'Exemple planning'!$A$11:$A$25,0))&amp;"","Source inconnue"))</f>
        <v>Légale et réglementaire (indicateur 23)</v>
      </c>
      <c r="E19" s="30" t="str">
        <f aca="false">IF($C19="","",IFERROR(INDEX('Exemple planning'!$C$11:$C$25,MATCH($C19,'Exemple planning'!$A$11:$A$25,0))&amp;"",""))</f>
        <v>Journal officiel et textes du code du travail (consultation de Légifrance)</v>
      </c>
      <c r="F19" s="21" t="s">
        <v>190</v>
      </c>
      <c r="G19" s="21" t="s">
        <v>246</v>
      </c>
      <c r="H19" s="21" t="s">
        <v>226</v>
      </c>
      <c r="I19" s="21" t="s">
        <v>229</v>
      </c>
      <c r="J19" s="23"/>
      <c r="K19" s="21"/>
      <c r="L19" s="22" t="str">
        <f aca="false">IF(AND(B19&lt;&gt;"",J19&lt;&gt;""),J19-B19,"")</f>
        <v/>
      </c>
      <c r="M19" s="21"/>
      <c r="N19" s="21"/>
      <c r="O19" s="21"/>
      <c r="P19" s="23"/>
      <c r="Q19" s="23"/>
      <c r="R19" s="21"/>
      <c r="S19" s="25" t="str">
        <f aca="false">IF(AND(B19="",G19=""),"",IF(H19="","Pertinence à évaluer",IF(H19="Sans objet pour nous","Sans suite",IF(J19="","À diffuser",IF(I19="","Enseignement à rédiger",IF(H19="Utile à l’équipe","Exploité",IF(M19="","Impact à évaluer",IF(AND(M19&lt;&gt;"Aucun",N19=""),"Action à définir",IF(AND(N19&lt;&gt;"",Q19=""),IF(AND(P19&lt;&gt;"",P19&lt;$D$4),"Action en retard","Action en cours"),"Exploité")))))))))</f>
        <v>Sans suite</v>
      </c>
    </row>
    <row r="20" customFormat="false" ht="45" hidden="false" customHeight="true" outlineLevel="0" collapsed="false">
      <c r="A20" s="20" t="n">
        <v>10</v>
      </c>
      <c r="B20" s="23" t="n">
        <v>46237</v>
      </c>
      <c r="C20" s="29" t="n">
        <v>7</v>
      </c>
      <c r="D20" s="30" t="str">
        <f aca="false">IF($C20="","",IFERROR(INDEX('Exemple planning'!$B$11:$B$25,MATCH($C20,'Exemple planning'!$A$11:$A$25,0))&amp;"","Source inconnue"))</f>
        <v>Métiers, compétences et emplois (indicateur 24)</v>
      </c>
      <c r="E20" s="30" t="str">
        <f aca="false">IF($C20="","",IFERROR(INDEX('Exemple planning'!$C$11:$C$25,MATCH($C20,'Exemple planning'!$A$11:$A$25,0))&amp;"",""))</f>
        <v>Revue professionnelle de la formation et du management (abonnement)</v>
      </c>
      <c r="F20" s="21" t="s">
        <v>191</v>
      </c>
      <c r="G20" s="21" t="s">
        <v>247</v>
      </c>
      <c r="H20" s="21" t="s">
        <v>226</v>
      </c>
      <c r="I20" s="21" t="s">
        <v>229</v>
      </c>
      <c r="J20" s="23"/>
      <c r="K20" s="21"/>
      <c r="L20" s="22" t="str">
        <f aca="false">IF(AND(B20&lt;&gt;"",J20&lt;&gt;""),J20-B20,"")</f>
        <v/>
      </c>
      <c r="M20" s="21"/>
      <c r="N20" s="21"/>
      <c r="O20" s="21"/>
      <c r="P20" s="23"/>
      <c r="Q20" s="23"/>
      <c r="R20" s="21"/>
      <c r="S20" s="25" t="str">
        <f aca="false">IF(AND(B20="",G20=""),"",IF(H20="","Pertinence à évaluer",IF(H20="Sans objet pour nous","Sans suite",IF(J20="","À diffuser",IF(I20="","Enseignement à rédiger",IF(H20="Utile à l’équipe","Exploité",IF(M20="","Impact à évaluer",IF(AND(M20&lt;&gt;"Aucun",N20=""),"Action à définir",IF(AND(N20&lt;&gt;"",Q20=""),IF(AND(P20&lt;&gt;"",P20&lt;$D$4),"Action en retard","Action en cours"),"Exploité")))))))))</f>
        <v>Sans suite</v>
      </c>
    </row>
    <row r="21" customFormat="false" ht="57.75" hidden="false" customHeight="true" outlineLevel="0" collapsed="false">
      <c r="A21" s="20" t="n">
        <v>11</v>
      </c>
      <c r="B21" s="23" t="n">
        <v>46244</v>
      </c>
      <c r="C21" s="29" t="n">
        <v>4</v>
      </c>
      <c r="D21" s="30" t="str">
        <f aca="false">IF($C21="","",IFERROR(INDEX('Exemple planning'!$B$11:$B$25,MATCH($C21,'Exemple planning'!$A$11:$A$25,0))&amp;"","Source inconnue"))</f>
        <v>Légale et réglementaire (indicateur 23)</v>
      </c>
      <c r="E21" s="30" t="str">
        <f aca="false">IF($C21="","",IFERROR(INDEX('Exemple planning'!$C$11:$C$25,MATCH($C21,'Exemple planning'!$A$11:$A$25,0))&amp;"",""))</f>
        <v>Lettre d’information de notre OPCO principal</v>
      </c>
      <c r="F21" s="21" t="s">
        <v>190</v>
      </c>
      <c r="G21" s="21" t="s">
        <v>248</v>
      </c>
      <c r="H21" s="21" t="s">
        <v>219</v>
      </c>
      <c r="I21" s="21" t="s">
        <v>249</v>
      </c>
      <c r="J21" s="23" t="n">
        <v>46245</v>
      </c>
      <c r="K21" s="21" t="s">
        <v>221</v>
      </c>
      <c r="L21" s="22" t="n">
        <f aca="false">IF(AND(B21&lt;&gt;"",J21&lt;&gt;""),J21-B21,"")</f>
        <v>1</v>
      </c>
      <c r="M21" s="21" t="s">
        <v>250</v>
      </c>
      <c r="N21" s="21" t="s">
        <v>251</v>
      </c>
      <c r="O21" s="21" t="s">
        <v>193</v>
      </c>
      <c r="P21" s="23" t="n">
        <v>46265</v>
      </c>
      <c r="Q21" s="23" t="n">
        <v>46259</v>
      </c>
      <c r="R21" s="21" t="s">
        <v>252</v>
      </c>
      <c r="S21" s="25" t="str">
        <f aca="false">IF(AND(B21="",G21=""),"",IF(H21="","Pertinence à évaluer",IF(H21="Sans objet pour nous","Sans suite",IF(J21="","À diffuser",IF(I21="","Enseignement à rédiger",IF(H21="Utile à l’équipe","Exploité",IF(M21="","Impact à évaluer",IF(AND(M21&lt;&gt;"Aucun",N21=""),"Action à définir",IF(AND(N21&lt;&gt;"",Q21=""),IF(AND(P21&lt;&gt;"",P21&lt;$D$4),"Action en retard","Action en cours"),"Exploité")))))))))</f>
        <v>Exploité</v>
      </c>
    </row>
    <row r="22" customFormat="false" ht="45" hidden="false" customHeight="true" outlineLevel="0" collapsed="false">
      <c r="A22" s="20" t="n">
        <v>12</v>
      </c>
      <c r="B22" s="23" t="n">
        <v>46261</v>
      </c>
      <c r="C22" s="29" t="n">
        <v>2</v>
      </c>
      <c r="D22" s="30" t="str">
        <f aca="false">IF($C22="","",IFERROR(INDEX('Exemple planning'!$B$11:$B$25,MATCH($C22,'Exemple planning'!$A$11:$A$25,0))&amp;"","Source inconnue"))</f>
        <v>Légale et réglementaire (indicateur 23)</v>
      </c>
      <c r="E22" s="30" t="str">
        <f aca="false">IF($C22="","",IFERROR(INDEX('Exemple planning'!$C$11:$C$25,MATCH($C22,'Exemple planning'!$A$11:$A$25,0))&amp;"",""))</f>
        <v>Pages formation professionnelle du site du ministère du Travail</v>
      </c>
      <c r="F22" s="21" t="s">
        <v>191</v>
      </c>
      <c r="G22" s="21" t="s">
        <v>253</v>
      </c>
      <c r="H22" s="21" t="s">
        <v>226</v>
      </c>
      <c r="I22" s="21" t="s">
        <v>229</v>
      </c>
      <c r="J22" s="23"/>
      <c r="K22" s="21"/>
      <c r="L22" s="22" t="str">
        <f aca="false">IF(AND(B22&lt;&gt;"",J22&lt;&gt;""),J22-B22,"")</f>
        <v/>
      </c>
      <c r="M22" s="21"/>
      <c r="N22" s="21"/>
      <c r="O22" s="21"/>
      <c r="P22" s="23"/>
      <c r="Q22" s="23"/>
      <c r="R22" s="21"/>
      <c r="S22" s="25" t="str">
        <f aca="false">IF(AND(B22="",G22=""),"",IF(H22="","Pertinence à évaluer",IF(H22="Sans objet pour nous","Sans suite",IF(J22="","À diffuser",IF(I22="","Enseignement à rédiger",IF(H22="Utile à l’équipe","Exploité",IF(M22="","Impact à évaluer",IF(AND(M22&lt;&gt;"Aucun",N22=""),"Action à définir",IF(AND(N22&lt;&gt;"",Q22=""),IF(AND(P22&lt;&gt;"",P22&lt;$D$4),"Action en retard","Action en cours"),"Exploité")))))))))</f>
        <v>Sans suite</v>
      </c>
    </row>
    <row r="23" customFormat="false" ht="45" hidden="false" customHeight="true" outlineLevel="0" collapsed="false">
      <c r="A23" s="20" t="n">
        <v>13</v>
      </c>
      <c r="B23" s="23" t="n">
        <v>46267</v>
      </c>
      <c r="C23" s="29" t="n">
        <v>5</v>
      </c>
      <c r="D23" s="30" t="str">
        <f aca="false">IF($C23="","",IFERROR(INDEX('Exemple planning'!$B$11:$B$25,MATCH($C23,'Exemple planning'!$A$11:$A$25,0))&amp;"","Source inconnue"))</f>
        <v>Légale et réglementaire (indicateur 23)</v>
      </c>
      <c r="E23" s="30" t="str">
        <f aca="false">IF($C23="","",IFERROR(INDEX('Exemple planning'!$C$11:$C$25,MATCH($C23,'Exemple planning'!$A$11:$A$25,0))&amp;"",""))</f>
        <v>Actualités du réseau de partenaires handicap du territoire</v>
      </c>
      <c r="F23" s="21" t="s">
        <v>199</v>
      </c>
      <c r="G23" s="21" t="s">
        <v>254</v>
      </c>
      <c r="H23" s="21" t="s">
        <v>219</v>
      </c>
      <c r="I23" s="21" t="s">
        <v>255</v>
      </c>
      <c r="J23" s="23" t="n">
        <v>46269</v>
      </c>
      <c r="K23" s="21" t="s">
        <v>221</v>
      </c>
      <c r="L23" s="22" t="n">
        <f aca="false">IF(AND(B23&lt;&gt;"",J23&lt;&gt;""),J23-B23,"")</f>
        <v>2</v>
      </c>
      <c r="M23" s="21" t="s">
        <v>241</v>
      </c>
      <c r="N23" s="21" t="s">
        <v>256</v>
      </c>
      <c r="O23" s="21" t="s">
        <v>199</v>
      </c>
      <c r="P23" s="23" t="n">
        <v>46325</v>
      </c>
      <c r="Q23" s="23"/>
      <c r="R23" s="21"/>
      <c r="S23" s="25" t="str">
        <f aca="false">IF(AND(B23="",G23=""),"",IF(H23="","Pertinence à évaluer",IF(H23="Sans objet pour nous","Sans suite",IF(J23="","À diffuser",IF(I23="","Enseignement à rédiger",IF(H23="Utile à l’équipe","Exploité",IF(M23="","Impact à évaluer",IF(AND(M23&lt;&gt;"Aucun",N23=""),"Action à définir",IF(AND(N23&lt;&gt;"",Q23=""),IF(AND(P23&lt;&gt;"",P23&lt;$D$4),"Action en retard","Action en cours"),"Exploité")))))))))</f>
        <v>Action en cours</v>
      </c>
    </row>
    <row r="24" customFormat="false" ht="57.75" hidden="false" customHeight="true" outlineLevel="0" collapsed="false">
      <c r="A24" s="20" t="n">
        <v>14</v>
      </c>
      <c r="B24" s="23" t="n">
        <v>46272</v>
      </c>
      <c r="C24" s="29" t="n">
        <v>1</v>
      </c>
      <c r="D24" s="30" t="str">
        <f aca="false">IF($C24="","",IFERROR(INDEX('Exemple planning'!$B$11:$B$25,MATCH($C24,'Exemple planning'!$A$11:$A$25,0))&amp;"","Source inconnue"))</f>
        <v>Légale et réglementaire (indicateur 23)</v>
      </c>
      <c r="E24" s="30" t="str">
        <f aca="false">IF($C24="","",IFERROR(INDEX('Exemple planning'!$C$11:$C$25,MATCH($C24,'Exemple planning'!$A$11:$A$25,0))&amp;"",""))</f>
        <v>Journal officiel et textes du code du travail (consultation de Légifrance)</v>
      </c>
      <c r="F24" s="21" t="s">
        <v>190</v>
      </c>
      <c r="G24" s="21" t="s">
        <v>257</v>
      </c>
      <c r="H24" s="21" t="s">
        <v>219</v>
      </c>
      <c r="I24" s="21" t="s">
        <v>258</v>
      </c>
      <c r="J24" s="23" t="n">
        <v>46274</v>
      </c>
      <c r="K24" s="21" t="s">
        <v>221</v>
      </c>
      <c r="L24" s="22" t="n">
        <f aca="false">IF(AND(B24&lt;&gt;"",J24&lt;&gt;""),J24-B24,"")</f>
        <v>2</v>
      </c>
      <c r="M24" s="21" t="s">
        <v>250</v>
      </c>
      <c r="N24" s="21" t="s">
        <v>259</v>
      </c>
      <c r="O24" s="21" t="s">
        <v>191</v>
      </c>
      <c r="P24" s="23" t="n">
        <v>46295</v>
      </c>
      <c r="Q24" s="23" t="n">
        <v>46293</v>
      </c>
      <c r="R24" s="21" t="s">
        <v>260</v>
      </c>
      <c r="S24" s="25" t="str">
        <f aca="false">IF(AND(B24="",G24=""),"",IF(H24="","Pertinence à évaluer",IF(H24="Sans objet pour nous","Sans suite",IF(J24="","À diffuser",IF(I24="","Enseignement à rédiger",IF(H24="Utile à l’équipe","Exploité",IF(M24="","Impact à évaluer",IF(AND(M24&lt;&gt;"Aucun",N24=""),"Action à définir",IF(AND(N24&lt;&gt;"",Q24=""),IF(AND(P24&lt;&gt;"",P24&lt;$D$4),"Action en retard","Action en cours"),"Exploité")))))))))</f>
        <v>Exploité</v>
      </c>
    </row>
    <row r="25" customFormat="false" ht="45" hidden="false" customHeight="true" outlineLevel="0" collapsed="false">
      <c r="A25" s="20" t="n">
        <v>15</v>
      </c>
      <c r="B25" s="23" t="n">
        <v>46272</v>
      </c>
      <c r="C25" s="29" t="n">
        <v>7</v>
      </c>
      <c r="D25" s="30" t="str">
        <f aca="false">IF($C25="","",IFERROR(INDEX('Exemple planning'!$B$11:$B$25,MATCH($C25,'Exemple planning'!$A$11:$A$25,0))&amp;"","Source inconnue"))</f>
        <v>Métiers, compétences et emplois (indicateur 24)</v>
      </c>
      <c r="E25" s="30" t="str">
        <f aca="false">IF($C25="","",IFERROR(INDEX('Exemple planning'!$C$11:$C$25,MATCH($C25,'Exemple planning'!$A$11:$A$25,0))&amp;"",""))</f>
        <v>Revue professionnelle de la formation et du management (abonnement)</v>
      </c>
      <c r="F25" s="21" t="s">
        <v>191</v>
      </c>
      <c r="G25" s="21" t="s">
        <v>261</v>
      </c>
      <c r="H25" s="21" t="s">
        <v>236</v>
      </c>
      <c r="I25" s="21" t="s">
        <v>262</v>
      </c>
      <c r="J25" s="23" t="n">
        <v>46273</v>
      </c>
      <c r="K25" s="21" t="s">
        <v>240</v>
      </c>
      <c r="L25" s="22" t="n">
        <f aca="false">IF(AND(B25&lt;&gt;"",J25&lt;&gt;""),J25-B25,"")</f>
        <v>1</v>
      </c>
      <c r="M25" s="21"/>
      <c r="N25" s="21"/>
      <c r="O25" s="21"/>
      <c r="P25" s="23"/>
      <c r="Q25" s="23"/>
      <c r="R25" s="21"/>
      <c r="S25" s="25" t="str">
        <f aca="false">IF(AND(B25="",G25=""),"",IF(H25="","Pertinence à évaluer",IF(H25="Sans objet pour nous","Sans suite",IF(J25="","À diffuser",IF(I25="","Enseignement à rédiger",IF(H25="Utile à l’équipe","Exploité",IF(M25="","Impact à évaluer",IF(AND(M25&lt;&gt;"Aucun",N25=""),"Action à définir",IF(AND(N25&lt;&gt;"",Q25=""),IF(AND(P25&lt;&gt;"",P25&lt;$D$4),"Action en retard","Action en cours"),"Exploité")))))))))</f>
        <v>Exploité</v>
      </c>
    </row>
    <row r="26" customFormat="false" ht="45" hidden="false" customHeight="true" outlineLevel="0" collapsed="false">
      <c r="A26" s="20" t="n">
        <v>16</v>
      </c>
      <c r="B26" s="23" t="n">
        <v>46283</v>
      </c>
      <c r="C26" s="29" t="n">
        <v>6</v>
      </c>
      <c r="D26" s="30" t="str">
        <f aca="false">IF($C26="","",IFERROR(INDEX('Exemple planning'!$B$11:$B$25,MATCH($C26,'Exemple planning'!$A$11:$A$25,0))&amp;"","Source inconnue"))</f>
        <v>Métiers, compétences et emplois (indicateur 24)</v>
      </c>
      <c r="E26" s="30" t="str">
        <f aca="false">IF($C26="","",IFERROR(INDEX('Exemple planning'!$C$11:$C$25,MATCH($C26,'Exemple planning'!$A$11:$A$25,0))&amp;"",""))</f>
        <v>Fédération professionnelle de la formation (adhésion, réunions trimestrielles)</v>
      </c>
      <c r="F26" s="21" t="s">
        <v>190</v>
      </c>
      <c r="G26" s="21" t="s">
        <v>263</v>
      </c>
      <c r="H26" s="21" t="s">
        <v>236</v>
      </c>
      <c r="I26" s="21" t="s">
        <v>264</v>
      </c>
      <c r="J26" s="23" t="n">
        <v>46286</v>
      </c>
      <c r="K26" s="21" t="s">
        <v>221</v>
      </c>
      <c r="L26" s="22" t="n">
        <f aca="false">IF(AND(B26&lt;&gt;"",J26&lt;&gt;""),J26-B26,"")</f>
        <v>3</v>
      </c>
      <c r="M26" s="21"/>
      <c r="N26" s="21"/>
      <c r="O26" s="21"/>
      <c r="P26" s="23"/>
      <c r="Q26" s="23"/>
      <c r="R26" s="21"/>
      <c r="S26" s="25" t="str">
        <f aca="false">IF(AND(B26="",G26=""),"",IF(H26="","Pertinence à évaluer",IF(H26="Sans objet pour nous","Sans suite",IF(J26="","À diffuser",IF(I26="","Enseignement à rédiger",IF(H26="Utile à l’équipe","Exploité",IF(M26="","Impact à évaluer",IF(AND(M26&lt;&gt;"Aucun",N26=""),"Action à définir",IF(AND(N26&lt;&gt;"",Q26=""),IF(AND(P26&lt;&gt;"",P26&lt;$D$4),"Action en retard","Action en cours"),"Exploité")))))))))</f>
        <v>Exploité</v>
      </c>
    </row>
    <row r="27" customFormat="false" ht="45" hidden="false" customHeight="true" outlineLevel="0" collapsed="false">
      <c r="A27" s="20" t="n">
        <v>17</v>
      </c>
      <c r="B27" s="23" t="n">
        <v>46288</v>
      </c>
      <c r="C27" s="29" t="n">
        <v>4</v>
      </c>
      <c r="D27" s="30" t="str">
        <f aca="false">IF($C27="","",IFERROR(INDEX('Exemple planning'!$B$11:$B$25,MATCH($C27,'Exemple planning'!$A$11:$A$25,0))&amp;"","Source inconnue"))</f>
        <v>Légale et réglementaire (indicateur 23)</v>
      </c>
      <c r="E27" s="30" t="str">
        <f aca="false">IF($C27="","",IFERROR(INDEX('Exemple planning'!$C$11:$C$25,MATCH($C27,'Exemple planning'!$A$11:$A$25,0))&amp;"",""))</f>
        <v>Lettre d’information de notre OPCO principal</v>
      </c>
      <c r="F27" s="21" t="s">
        <v>190</v>
      </c>
      <c r="G27" s="21" t="s">
        <v>265</v>
      </c>
      <c r="H27" s="21" t="s">
        <v>236</v>
      </c>
      <c r="I27" s="21" t="s">
        <v>266</v>
      </c>
      <c r="J27" s="23" t="n">
        <v>46288</v>
      </c>
      <c r="K27" s="21" t="s">
        <v>240</v>
      </c>
      <c r="L27" s="22" t="n">
        <f aca="false">IF(AND(B27&lt;&gt;"",J27&lt;&gt;""),J27-B27,"")</f>
        <v>0</v>
      </c>
      <c r="M27" s="21"/>
      <c r="N27" s="21"/>
      <c r="O27" s="21"/>
      <c r="P27" s="23"/>
      <c r="Q27" s="23"/>
      <c r="R27" s="21"/>
      <c r="S27" s="25" t="str">
        <f aca="false">IF(AND(B27="",G27=""),"",IF(H27="","Pertinence à évaluer",IF(H27="Sans objet pour nous","Sans suite",IF(J27="","À diffuser",IF(I27="","Enseignement à rédiger",IF(H27="Utile à l’équipe","Exploité",IF(M27="","Impact à évaluer",IF(AND(M27&lt;&gt;"Aucun",N27=""),"Action à définir",IF(AND(N27&lt;&gt;"",Q27=""),IF(AND(P27&lt;&gt;"",P27&lt;$D$4),"Action en retard","Action en cours"),"Exploité")))))))))</f>
        <v>Exploité</v>
      </c>
    </row>
    <row r="28" customFormat="false" ht="45" hidden="false" customHeight="true" outlineLevel="0" collapsed="false">
      <c r="A28" s="20" t="n">
        <v>18</v>
      </c>
      <c r="B28" s="23" t="n">
        <v>46293</v>
      </c>
      <c r="C28" s="29" t="n">
        <v>2</v>
      </c>
      <c r="D28" s="30" t="str">
        <f aca="false">IF($C28="","",IFERROR(INDEX('Exemple planning'!$B$11:$B$25,MATCH($C28,'Exemple planning'!$A$11:$A$25,0))&amp;"","Source inconnue"))</f>
        <v>Légale et réglementaire (indicateur 23)</v>
      </c>
      <c r="E28" s="30" t="str">
        <f aca="false">IF($C28="","",IFERROR(INDEX('Exemple planning'!$C$11:$C$25,MATCH($C28,'Exemple planning'!$A$11:$A$25,0))&amp;"",""))</f>
        <v>Pages formation professionnelle du site du ministère du Travail</v>
      </c>
      <c r="F28" s="21" t="s">
        <v>191</v>
      </c>
      <c r="G28" s="21" t="s">
        <v>267</v>
      </c>
      <c r="H28" s="21" t="s">
        <v>236</v>
      </c>
      <c r="I28" s="21" t="s">
        <v>268</v>
      </c>
      <c r="J28" s="23" t="n">
        <v>46294</v>
      </c>
      <c r="K28" s="21" t="s">
        <v>269</v>
      </c>
      <c r="L28" s="22" t="n">
        <f aca="false">IF(AND(B28&lt;&gt;"",J28&lt;&gt;""),J28-B28,"")</f>
        <v>1</v>
      </c>
      <c r="M28" s="21"/>
      <c r="N28" s="21"/>
      <c r="O28" s="21"/>
      <c r="P28" s="23"/>
      <c r="Q28" s="23"/>
      <c r="R28" s="21"/>
      <c r="S28" s="25" t="str">
        <f aca="false">IF(AND(B28="",G28=""),"",IF(H28="","Pertinence à évaluer",IF(H28="Sans objet pour nous","Sans suite",IF(J28="","À diffuser",IF(I28="","Enseignement à rédiger",IF(H28="Utile à l’équipe","Exploité",IF(M28="","Impact à évaluer",IF(AND(M28&lt;&gt;"Aucun",N28=""),"Action à définir",IF(AND(N28&lt;&gt;"",Q28=""),IF(AND(P28&lt;&gt;"",P28&lt;$D$4),"Action en retard","Action en cours"),"Exploité")))))))))</f>
        <v>Exploité</v>
      </c>
    </row>
    <row r="29" customFormat="false" ht="45" hidden="false" customHeight="true" outlineLevel="0" collapsed="false">
      <c r="A29" s="20" t="n">
        <v>19</v>
      </c>
      <c r="B29" s="23" t="n">
        <v>46301</v>
      </c>
      <c r="C29" s="29" t="n">
        <v>7</v>
      </c>
      <c r="D29" s="30" t="str">
        <f aca="false">IF($C29="","",IFERROR(INDEX('Exemple planning'!$B$11:$B$25,MATCH($C29,'Exemple planning'!$A$11:$A$25,0))&amp;"","Source inconnue"))</f>
        <v>Métiers, compétences et emplois (indicateur 24)</v>
      </c>
      <c r="E29" s="30" t="str">
        <f aca="false">IF($C29="","",IFERROR(INDEX('Exemple planning'!$C$11:$C$25,MATCH($C29,'Exemple planning'!$A$11:$A$25,0))&amp;"",""))</f>
        <v>Revue professionnelle de la formation et du management (abonnement)</v>
      </c>
      <c r="F29" s="21" t="s">
        <v>191</v>
      </c>
      <c r="G29" s="21" t="s">
        <v>270</v>
      </c>
      <c r="H29" s="21" t="s">
        <v>226</v>
      </c>
      <c r="I29" s="21" t="s">
        <v>229</v>
      </c>
      <c r="J29" s="23"/>
      <c r="K29" s="21"/>
      <c r="L29" s="22" t="str">
        <f aca="false">IF(AND(B29&lt;&gt;"",J29&lt;&gt;""),J29-B29,"")</f>
        <v/>
      </c>
      <c r="M29" s="21"/>
      <c r="N29" s="21"/>
      <c r="O29" s="21"/>
      <c r="P29" s="23"/>
      <c r="Q29" s="23"/>
      <c r="R29" s="21"/>
      <c r="S29" s="25" t="str">
        <f aca="false">IF(AND(B29="",G29=""),"",IF(H29="","Pertinence à évaluer",IF(H29="Sans objet pour nous","Sans suite",IF(J29="","À diffuser",IF(I29="","Enseignement à rédiger",IF(H29="Utile à l’équipe","Exploité",IF(M29="","Impact à évaluer",IF(AND(M29&lt;&gt;"Aucun",N29=""),"Action à définir",IF(AND(N29&lt;&gt;"",Q29=""),IF(AND(P29&lt;&gt;"",P29&lt;$D$4),"Action en retard","Action en cours"),"Exploité")))))))))</f>
        <v>Sans suite</v>
      </c>
    </row>
    <row r="30" customFormat="false" ht="57.75" hidden="false" customHeight="true" outlineLevel="0" collapsed="false">
      <c r="A30" s="20" t="n">
        <v>20</v>
      </c>
      <c r="B30" s="23" t="n">
        <v>46303</v>
      </c>
      <c r="C30" s="29" t="n">
        <v>1</v>
      </c>
      <c r="D30" s="30" t="str">
        <f aca="false">IF($C30="","",IFERROR(INDEX('Exemple planning'!$B$11:$B$25,MATCH($C30,'Exemple planning'!$A$11:$A$25,0))&amp;"","Source inconnue"))</f>
        <v>Légale et réglementaire (indicateur 23)</v>
      </c>
      <c r="E30" s="30" t="str">
        <f aca="false">IF($C30="","",IFERROR(INDEX('Exemple planning'!$C$11:$C$25,MATCH($C30,'Exemple planning'!$A$11:$A$25,0))&amp;"",""))</f>
        <v>Journal officiel et textes du code du travail (consultation de Légifrance)</v>
      </c>
      <c r="F30" s="21" t="s">
        <v>190</v>
      </c>
      <c r="G30" s="21" t="s">
        <v>271</v>
      </c>
      <c r="H30" s="21" t="s">
        <v>236</v>
      </c>
      <c r="I30" s="21" t="s">
        <v>272</v>
      </c>
      <c r="J30" s="23" t="n">
        <v>46303</v>
      </c>
      <c r="K30" s="21" t="s">
        <v>240</v>
      </c>
      <c r="L30" s="22" t="n">
        <f aca="false">IF(AND(B30&lt;&gt;"",J30&lt;&gt;""),J30-B30,"")</f>
        <v>0</v>
      </c>
      <c r="M30" s="21"/>
      <c r="N30" s="21"/>
      <c r="O30" s="21"/>
      <c r="P30" s="23"/>
      <c r="Q30" s="23"/>
      <c r="R30" s="21"/>
      <c r="S30" s="25" t="str">
        <f aca="false">IF(AND(B30="",G30=""),"",IF(H30="","Pertinence à évaluer",IF(H30="Sans objet pour nous","Sans suite",IF(J30="","À diffuser",IF(I30="","Enseignement à rédiger",IF(H30="Utile à l’équipe","Exploité",IF(M30="","Impact à évaluer",IF(AND(M30&lt;&gt;"Aucun",N30=""),"Action à définir",IF(AND(N30&lt;&gt;"",Q30=""),IF(AND(P30&lt;&gt;"",P30&lt;$D$4),"Action en retard","Action en cours"),"Exploité")))))))))</f>
        <v>Exploité</v>
      </c>
    </row>
    <row r="31" customFormat="false" ht="57.75" hidden="false" customHeight="true" outlineLevel="0" collapsed="false">
      <c r="A31" s="20" t="n">
        <v>21</v>
      </c>
      <c r="B31" s="23" t="n">
        <v>46304</v>
      </c>
      <c r="C31" s="29" t="n">
        <v>11</v>
      </c>
      <c r="D31" s="30" t="str">
        <f aca="false">IF($C31="","",IFERROR(INDEX('Exemple planning'!$B$11:$B$25,MATCH($C31,'Exemple planning'!$A$11:$A$25,0))&amp;"","Source inconnue"))</f>
        <v>Innovations pédagogiques et technologiques (indicateur 25)</v>
      </c>
      <c r="E31" s="30" t="str">
        <f aca="false">IF($C31="","",IFERROR(INDEX('Exemple planning'!$C$11:$C$25,MATCH($C31,'Exemple planning'!$A$11:$A$25,0))&amp;"",""))</f>
        <v>Groupe d’analyse de pratiques entre formateurs</v>
      </c>
      <c r="F31" s="21" t="s">
        <v>191</v>
      </c>
      <c r="G31" s="21" t="s">
        <v>273</v>
      </c>
      <c r="H31" s="21" t="s">
        <v>219</v>
      </c>
      <c r="I31" s="21" t="s">
        <v>274</v>
      </c>
      <c r="J31" s="23" t="n">
        <v>46307</v>
      </c>
      <c r="K31" s="21" t="s">
        <v>221</v>
      </c>
      <c r="L31" s="22" t="n">
        <f aca="false">IF(AND(B31&lt;&gt;"",J31&lt;&gt;""),J31-B31,"")</f>
        <v>3</v>
      </c>
      <c r="M31" s="21" t="s">
        <v>222</v>
      </c>
      <c r="N31" s="21" t="s">
        <v>275</v>
      </c>
      <c r="O31" s="21" t="s">
        <v>191</v>
      </c>
      <c r="P31" s="23" t="n">
        <v>46402</v>
      </c>
      <c r="Q31" s="23"/>
      <c r="R31" s="21"/>
      <c r="S31" s="25" t="str">
        <f aca="false">IF(AND(B31="",G31=""),"",IF(H31="","Pertinence à évaluer",IF(H31="Sans objet pour nous","Sans suite",IF(J31="","À diffuser",IF(I31="","Enseignement à rédiger",IF(H31="Utile à l’équipe","Exploité",IF(M31="","Impact à évaluer",IF(AND(M31&lt;&gt;"Aucun",N31=""),"Action à définir",IF(AND(N31&lt;&gt;"",Q31=""),IF(AND(P31&lt;&gt;"",P31&lt;$D$4),"Action en retard","Action en cours"),"Exploité")))))))))</f>
        <v>Action en cours</v>
      </c>
    </row>
    <row r="32" customFormat="false" ht="57.75" hidden="false" customHeight="true" outlineLevel="0" collapsed="false">
      <c r="A32" s="20" t="n">
        <v>22</v>
      </c>
      <c r="B32" s="23" t="n">
        <v>46309</v>
      </c>
      <c r="C32" s="29" t="n">
        <v>12</v>
      </c>
      <c r="D32" s="30" t="str">
        <f aca="false">IF($C32="","",IFERROR(INDEX('Exemple planning'!$B$11:$B$25,MATCH($C32,'Exemple planning'!$A$11:$A$25,0))&amp;"","Source inconnue"))</f>
        <v>Innovations pédagogiques et technologiques (indicateur 25)</v>
      </c>
      <c r="E32" s="30" t="str">
        <f aca="false">IF($C32="","",IFERROR(INDEX('Exemple planning'!$C$11:$C$25,MATCH($C32,'Exemple planning'!$A$11:$A$25,0))&amp;"",""))</f>
        <v>Webinaires et lettres des éditeurs de plateformes et d’outils de classe virtuelle</v>
      </c>
      <c r="F32" s="21" t="s">
        <v>193</v>
      </c>
      <c r="G32" s="21" t="s">
        <v>276</v>
      </c>
      <c r="H32" s="21" t="s">
        <v>236</v>
      </c>
      <c r="I32" s="21" t="s">
        <v>277</v>
      </c>
      <c r="J32" s="23" t="n">
        <v>46309</v>
      </c>
      <c r="K32" s="21" t="s">
        <v>240</v>
      </c>
      <c r="L32" s="22" t="n">
        <f aca="false">IF(AND(B32&lt;&gt;"",J32&lt;&gt;""),J32-B32,"")</f>
        <v>0</v>
      </c>
      <c r="M32" s="21"/>
      <c r="N32" s="21"/>
      <c r="O32" s="21"/>
      <c r="P32" s="23"/>
      <c r="Q32" s="23"/>
      <c r="R32" s="21"/>
      <c r="S32" s="25" t="str">
        <f aca="false">IF(AND(B32="",G32=""),"",IF(H32="","Pertinence à évaluer",IF(H32="Sans objet pour nous","Sans suite",IF(J32="","À diffuser",IF(I32="","Enseignement à rédiger",IF(H32="Utile à l’équipe","Exploité",IF(M32="","Impact à évaluer",IF(AND(M32&lt;&gt;"Aucun",N32=""),"Action à définir",IF(AND(N32&lt;&gt;"",Q32=""),IF(AND(P32&lt;&gt;"",P32&lt;$D$4),"Action en retard","Action en cours"),"Exploité")))))))))</f>
        <v>Exploité</v>
      </c>
    </row>
    <row r="33" customFormat="false" ht="25.5" hidden="false" customHeight="true" outlineLevel="0" collapsed="false">
      <c r="A33" s="20" t="n">
        <v>23</v>
      </c>
      <c r="B33" s="23"/>
      <c r="C33" s="29"/>
      <c r="D33" s="30" t="str">
        <f aca="false">IF($C33="","",IFERROR(INDEX('Exemple planning'!$B$11:$B$25,MATCH($C33,'Exemple planning'!$A$11:$A$25,0))&amp;"","Source inconnue"))</f>
        <v/>
      </c>
      <c r="E33" s="30" t="str">
        <f aca="false">IF($C33="","",IFERROR(INDEX('Exemple planning'!$C$11:$C$25,MATCH($C33,'Exemple planning'!$A$11:$A$25,0))&amp;"",""))</f>
        <v/>
      </c>
      <c r="F33" s="21"/>
      <c r="G33" s="21"/>
      <c r="H33" s="21"/>
      <c r="I33" s="21"/>
      <c r="J33" s="23"/>
      <c r="K33" s="21"/>
      <c r="L33" s="22" t="str">
        <f aca="false">IF(AND(B33&lt;&gt;"",J33&lt;&gt;""),J33-B33,"")</f>
        <v/>
      </c>
      <c r="M33" s="21"/>
      <c r="N33" s="21"/>
      <c r="O33" s="21"/>
      <c r="P33" s="23"/>
      <c r="Q33" s="23"/>
      <c r="R33" s="21"/>
      <c r="S33" s="25" t="str">
        <f aca="false">IF(AND(B33="",G33=""),"",IF(H33="","Pertinence à évaluer",IF(H33="Sans objet pour nous","Sans suite",IF(J33="","À diffuser",IF(I33="","Enseignement à rédiger",IF(H33="Utile à l’équipe","Exploité",IF(M33="","Impact à évaluer",IF(AND(M33&lt;&gt;"Aucun",N33=""),"Action à définir",IF(AND(N33&lt;&gt;"",Q33=""),IF(AND(P33&lt;&gt;"",P33&lt;$D$4),"Action en retard","Action en cours"),"Exploité")))))))))</f>
        <v/>
      </c>
    </row>
    <row r="34" customFormat="false" ht="25.5" hidden="false" customHeight="true" outlineLevel="0" collapsed="false">
      <c r="A34" s="20" t="n">
        <v>24</v>
      </c>
      <c r="B34" s="23"/>
      <c r="C34" s="29"/>
      <c r="D34" s="30" t="str">
        <f aca="false">IF($C34="","",IFERROR(INDEX('Exemple planning'!$B$11:$B$25,MATCH($C34,'Exemple planning'!$A$11:$A$25,0))&amp;"","Source inconnue"))</f>
        <v/>
      </c>
      <c r="E34" s="30" t="str">
        <f aca="false">IF($C34="","",IFERROR(INDEX('Exemple planning'!$C$11:$C$25,MATCH($C34,'Exemple planning'!$A$11:$A$25,0))&amp;"",""))</f>
        <v/>
      </c>
      <c r="F34" s="21"/>
      <c r="G34" s="21"/>
      <c r="H34" s="21"/>
      <c r="I34" s="21"/>
      <c r="J34" s="23"/>
      <c r="K34" s="21"/>
      <c r="L34" s="22" t="str">
        <f aca="false">IF(AND(B34&lt;&gt;"",J34&lt;&gt;""),J34-B34,"")</f>
        <v/>
      </c>
      <c r="M34" s="21"/>
      <c r="N34" s="21"/>
      <c r="O34" s="21"/>
      <c r="P34" s="23"/>
      <c r="Q34" s="23"/>
      <c r="R34" s="21"/>
      <c r="S34" s="25" t="str">
        <f aca="false">IF(AND(B34="",G34=""),"",IF(H34="","Pertinence à évaluer",IF(H34="Sans objet pour nous","Sans suite",IF(J34="","À diffuser",IF(I34="","Enseignement à rédiger",IF(H34="Utile à l’équipe","Exploité",IF(M34="","Impact à évaluer",IF(AND(M34&lt;&gt;"Aucun",N34=""),"Action à définir",IF(AND(N34&lt;&gt;"",Q34=""),IF(AND(P34&lt;&gt;"",P34&lt;$D$4),"Action en retard","Action en cours"),"Exploité")))))))))</f>
        <v/>
      </c>
    </row>
    <row r="35" customFormat="false" ht="25.5" hidden="false" customHeight="true" outlineLevel="0" collapsed="false">
      <c r="A35" s="20" t="n">
        <v>25</v>
      </c>
      <c r="B35" s="23"/>
      <c r="C35" s="29"/>
      <c r="D35" s="30" t="str">
        <f aca="false">IF($C35="","",IFERROR(INDEX('Exemple planning'!$B$11:$B$25,MATCH($C35,'Exemple planning'!$A$11:$A$25,0))&amp;"","Source inconnue"))</f>
        <v/>
      </c>
      <c r="E35" s="30" t="str">
        <f aca="false">IF($C35="","",IFERROR(INDEX('Exemple planning'!$C$11:$C$25,MATCH($C35,'Exemple planning'!$A$11:$A$25,0))&amp;"",""))</f>
        <v/>
      </c>
      <c r="F35" s="21"/>
      <c r="G35" s="21"/>
      <c r="H35" s="21"/>
      <c r="I35" s="21"/>
      <c r="J35" s="23"/>
      <c r="K35" s="21"/>
      <c r="L35" s="22" t="str">
        <f aca="false">IF(AND(B35&lt;&gt;"",J35&lt;&gt;""),J35-B35,"")</f>
        <v/>
      </c>
      <c r="M35" s="21"/>
      <c r="N35" s="21"/>
      <c r="O35" s="21"/>
      <c r="P35" s="23"/>
      <c r="Q35" s="23"/>
      <c r="R35" s="21"/>
      <c r="S35" s="25" t="str">
        <f aca="false">IF(AND(B35="",G35=""),"",IF(H35="","Pertinence à évaluer",IF(H35="Sans objet pour nous","Sans suite",IF(J35="","À diffuser",IF(I35="","Enseignement à rédiger",IF(H35="Utile à l’équipe","Exploité",IF(M35="","Impact à évaluer",IF(AND(M35&lt;&gt;"Aucun",N35=""),"Action à définir",IF(AND(N35&lt;&gt;"",Q35=""),IF(AND(P35&lt;&gt;"",P35&lt;$D$4),"Action en retard","Action en cours"),"Exploité")))))))))</f>
        <v/>
      </c>
    </row>
  </sheetData>
  <mergeCells count="14">
    <mergeCell ref="A4:C4"/>
    <mergeCell ref="F4:G4"/>
    <mergeCell ref="J4:P8"/>
    <mergeCell ref="A5:D5"/>
    <mergeCell ref="F5:G5"/>
    <mergeCell ref="A6:D6"/>
    <mergeCell ref="F6:G6"/>
    <mergeCell ref="A7:D7"/>
    <mergeCell ref="F7:G7"/>
    <mergeCell ref="F8:G8"/>
    <mergeCell ref="A9:F9"/>
    <mergeCell ref="G9:I9"/>
    <mergeCell ref="J9:L9"/>
    <mergeCell ref="M9:R9"/>
  </mergeCells>
  <conditionalFormatting sqref="S11:S35">
    <cfRule type="expression" priority="2" aboveAverage="0" equalAverage="0" bottom="0" percent="0" rank="0" text="" dxfId="0">
      <formula>$S11="Action en retard"</formula>
    </cfRule>
    <cfRule type="expression" priority="3" aboveAverage="0" equalAverage="0" bottom="0" percent="0" rank="0" text="" dxfId="0">
      <formula>$S11="Action à définir"</formula>
    </cfRule>
    <cfRule type="expression" priority="4" aboveAverage="0" equalAverage="0" bottom="0" percent="0" rank="0" text="" dxfId="0">
      <formula>$S11="À diffuser"</formula>
    </cfRule>
    <cfRule type="expression" priority="5" aboveAverage="0" equalAverage="0" bottom="0" percent="0" rank="0" text="" dxfId="1">
      <formula>$S11="Enseignement à rédiger"</formula>
    </cfRule>
    <cfRule type="expression" priority="6" aboveAverage="0" equalAverage="0" bottom="0" percent="0" rank="0" text="" dxfId="1">
      <formula>$S11="Impact à évaluer"</formula>
    </cfRule>
    <cfRule type="expression" priority="7" aboveAverage="0" equalAverage="0" bottom="0" percent="0" rank="0" text="" dxfId="1">
      <formula>$S11="Pertinence à évaluer"</formula>
    </cfRule>
    <cfRule type="expression" priority="8" aboveAverage="0" equalAverage="0" bottom="0" percent="0" rank="0" text="" dxfId="3">
      <formula>$S11="Action en cours"</formula>
    </cfRule>
    <cfRule type="expression" priority="9" aboveAverage="0" equalAverage="0" bottom="0" percent="0" rank="0" text="" dxfId="2">
      <formula>$S11="Exploité"</formula>
    </cfRule>
    <cfRule type="expression" priority="10" aboveAverage="0" equalAverage="0" bottom="0" percent="0" rank="0" text="" dxfId="7">
      <formula>$S11="Sans suite"</formula>
    </cfRule>
  </conditionalFormatting>
  <conditionalFormatting sqref="H11:H35">
    <cfRule type="expression" priority="11" aboveAverage="0" equalAverage="0" bottom="0" percent="0" rank="0" text="" dxfId="3">
      <formula>$S11="Pertinence à évaluer"</formula>
    </cfRule>
  </conditionalFormatting>
  <conditionalFormatting sqref="J11:K35">
    <cfRule type="expression" priority="12" aboveAverage="0" equalAverage="0" bottom="0" percent="0" rank="0" text="" dxfId="4">
      <formula>$S11="À diffuser"</formula>
    </cfRule>
  </conditionalFormatting>
  <conditionalFormatting sqref="I11:I35">
    <cfRule type="expression" priority="13" aboveAverage="0" equalAverage="0" bottom="0" percent="0" rank="0" text="" dxfId="3">
      <formula>$S11="Enseignement à rédiger"</formula>
    </cfRule>
  </conditionalFormatting>
  <conditionalFormatting sqref="M11:M35">
    <cfRule type="expression" priority="14" aboveAverage="0" equalAverage="0" bottom="0" percent="0" rank="0" text="" dxfId="3">
      <formula>$S11="Impact à évaluer"</formula>
    </cfRule>
  </conditionalFormatting>
  <conditionalFormatting sqref="N11:N35">
    <cfRule type="expression" priority="15" aboveAverage="0" equalAverage="0" bottom="0" percent="0" rank="0" text="" dxfId="4">
      <formula>$S11="Action à définir"</formula>
    </cfRule>
  </conditionalFormatting>
  <conditionalFormatting sqref="P11:Q35">
    <cfRule type="expression" priority="16" aboveAverage="0" equalAverage="0" bottom="0" percent="0" rank="0" text="" dxfId="0">
      <formula>AND($P11&lt;&gt;"",$Q11="",$P11&lt;$D$4)</formula>
    </cfRule>
  </conditionalFormatting>
  <conditionalFormatting sqref="C11:C35">
    <cfRule type="expression" priority="17" aboveAverage="0" equalAverage="0" bottom="0" percent="0" rank="0" text="" dxfId="4">
      <formula>OR($D11="Source inconnue",AND($G11&lt;&gt;"",$C11=""))</formula>
    </cfRule>
  </conditionalFormatting>
  <dataValidations count="4">
    <dataValidation allowBlank="true" errorStyle="stop" operator="between" prompt="N° de la source du planning" promptTitle="Choisir" showDropDown="false" showErrorMessage="false" showInputMessage="true" sqref="C11:C35" type="list">
      <formula1>'Exemple planning'!$A$11:$A$25</formula1>
      <formula2>0</formula2>
    </dataValidation>
    <dataValidation allowBlank="true" errorStyle="stop" operator="between" showDropDown="false" showErrorMessage="false" showInputMessage="false" sqref="H11:H35" type="list">
      <formula1>Listes!$E$4:$E$6</formula1>
      <formula2>0</formula2>
    </dataValidation>
    <dataValidation allowBlank="true" errorStyle="stop" operator="between" showDropDown="false" showErrorMessage="false" showInputMessage="false" sqref="K11:K35" type="list">
      <formula1>Listes!$F$4:$F$9</formula1>
      <formula2>0</formula2>
    </dataValidation>
    <dataValidation allowBlank="true" errorStyle="stop" operator="between" showDropDown="false" showErrorMessage="false" showInputMessage="false" sqref="M11:M35" type="list">
      <formula1>Listes!$G$4:$G$9</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L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2"/>
    <col collapsed="false" customWidth="true" hidden="false" outlineLevel="0" max="5" min="3" style="0" width="11"/>
    <col collapsed="false" customWidth="true" hidden="false" outlineLevel="0" max="6" min="6" style="0" width="12"/>
    <col collapsed="false" customWidth="true" hidden="false" outlineLevel="0" max="11" min="7" style="0" width="11"/>
    <col collapsed="false" customWidth="true" hidden="false" outlineLevel="0" max="12" min="12" style="0" width="44"/>
  </cols>
  <sheetData>
    <row r="1" customFormat="false" ht="21.75" hidden="false" customHeight="true" outlineLevel="0" collapsed="false">
      <c r="A1" s="1" t="s">
        <v>120</v>
      </c>
      <c r="B1" s="2"/>
      <c r="C1" s="2"/>
      <c r="D1" s="2"/>
      <c r="E1" s="2"/>
      <c r="F1" s="2"/>
      <c r="G1" s="2"/>
      <c r="H1" s="2"/>
      <c r="I1" s="2"/>
      <c r="J1" s="2"/>
      <c r="K1" s="2"/>
      <c r="L1" s="2"/>
    </row>
    <row r="2" customFormat="false" ht="25.5" hidden="false" customHeight="true" outlineLevel="0" collapsed="false">
      <c r="A2" s="3" t="s">
        <v>278</v>
      </c>
    </row>
    <row r="3" customFormat="false" ht="15" hidden="false" customHeight="false" outlineLevel="0" collapsed="false">
      <c r="A3" s="10" t="s">
        <v>279</v>
      </c>
    </row>
    <row r="4" customFormat="false" ht="15" hidden="false" customHeight="false" outlineLevel="0" collapsed="false">
      <c r="B4" s="11" t="s">
        <v>123</v>
      </c>
      <c r="C4" s="26" t="n">
        <f aca="false">'Exemple planning'!$D$4</f>
        <v>46317</v>
      </c>
      <c r="D4" s="26"/>
      <c r="E4" s="26"/>
    </row>
    <row r="6" customFormat="false" ht="19.5" hidden="false" customHeight="true" outlineLevel="0" collapsed="false">
      <c r="B6" s="16" t="s">
        <v>124</v>
      </c>
      <c r="C6" s="16"/>
      <c r="D6" s="16"/>
      <c r="E6" s="16"/>
      <c r="F6" s="16"/>
      <c r="G6" s="16"/>
      <c r="H6" s="16"/>
      <c r="I6" s="16"/>
      <c r="J6" s="16"/>
      <c r="K6" s="16"/>
      <c r="L6" s="16"/>
    </row>
    <row r="7" customFormat="false" ht="39.75" hidden="false" customHeight="true" outlineLevel="0" collapsed="false">
      <c r="B7" s="18" t="s">
        <v>45</v>
      </c>
      <c r="C7" s="18" t="s">
        <v>32</v>
      </c>
      <c r="D7" s="18" t="s">
        <v>35</v>
      </c>
      <c r="E7" s="18" t="s">
        <v>89</v>
      </c>
      <c r="F7" s="18" t="s">
        <v>53</v>
      </c>
      <c r="G7" s="18" t="s">
        <v>125</v>
      </c>
      <c r="H7" s="18" t="s">
        <v>126</v>
      </c>
      <c r="I7" s="18" t="s">
        <v>127</v>
      </c>
      <c r="J7" s="18" t="s">
        <v>128</v>
      </c>
      <c r="K7" s="18" t="s">
        <v>129</v>
      </c>
      <c r="L7" s="18" t="s">
        <v>130</v>
      </c>
    </row>
    <row r="8" customFormat="false" ht="33.75" hidden="false" customHeight="true" outlineLevel="0" collapsed="false">
      <c r="B8" s="11" t="str">
        <f aca="false">Listes!$A$4</f>
        <v>Légale et réglementaire (indicateur 23)</v>
      </c>
      <c r="C8" s="31" t="n">
        <f aca="false">COUNTIFS('Exemple planning'!$B$11:$B$25,$B8,'Exemple planning'!$C$11:$C$25,"&lt;&gt;")</f>
        <v>5</v>
      </c>
      <c r="D8" s="25" t="n">
        <f aca="false">COUNTIFS('Exemple planning'!$B$11:$B$25,$B8,'Exemple planning'!$L$11:$L$25,"En retard")</f>
        <v>1</v>
      </c>
      <c r="E8" s="31" t="n">
        <f aca="false">COUNTIFS('Exemple registre'!$D$11:$D$35,$B8,'Exemple registre'!$B$11:$B$35,"&lt;&gt;")</f>
        <v>11</v>
      </c>
      <c r="F8" s="24" t="n">
        <f aca="false">IF(E8=0,"",SUMPRODUCT(MAX(('Exemple registre'!$D$11:$D$35=$B8)*'Exemple registre'!$B$11:$B$35)))</f>
        <v>46303</v>
      </c>
      <c r="G8" s="31" t="n">
        <f aca="false">COUNTIFS('Exemple registre'!$D$11:$D$35,$B8,'Exemple registre'!$S$11:$S$35,"Sans suite")</f>
        <v>4</v>
      </c>
      <c r="H8" s="31" t="n">
        <f aca="false">COUNTIFS('Exemple registre'!$D$11:$D$35,$B8,'Exemple registre'!$J$11:$J$35,"&lt;&gt;")</f>
        <v>7</v>
      </c>
      <c r="I8" s="31" t="n">
        <f aca="false">COUNTIFS('Exemple registre'!$D$11:$D$35,$B8,'Exemple registre'!$S$11:$S$35,"Exploité")</f>
        <v>6</v>
      </c>
      <c r="J8" s="31" t="n">
        <f aca="false">E8-G8-I8</f>
        <v>1</v>
      </c>
      <c r="K8" s="32" t="n">
        <f aca="false">IFERROR(I8/(E8-G8),"")</f>
        <v>0.857142857142857</v>
      </c>
      <c r="L8" s="30" t="str">
        <f aca="false">IF(C8=0,"Aucune source définie.",IF(E8=0,"Aucun passage enregistré : la veille n’est pas démontrable.",IF(D8&gt;0,"Des sources sont en retard : à relancer.",IF(J8&gt;0,"Des passages restent à exploiter.","Veille à jour et exploitée."))))</f>
        <v>Des sources sont en retard : à relancer.</v>
      </c>
    </row>
    <row r="9" customFormat="false" ht="33.75" hidden="false" customHeight="true" outlineLevel="0" collapsed="false">
      <c r="B9" s="11" t="str">
        <f aca="false">Listes!$A$5</f>
        <v>Métiers, compétences et emplois (indicateur 24)</v>
      </c>
      <c r="C9" s="31" t="n">
        <f aca="false">COUNTIFS('Exemple planning'!$B$11:$B$25,$B9,'Exemple planning'!$C$11:$C$25,"&lt;&gt;")</f>
        <v>4</v>
      </c>
      <c r="D9" s="25" t="n">
        <f aca="false">COUNTIFS('Exemple planning'!$B$11:$B$25,$B9,'Exemple planning'!$L$11:$L$25,"En retard")</f>
        <v>1</v>
      </c>
      <c r="E9" s="31" t="n">
        <f aca="false">COUNTIFS('Exemple registre'!$D$11:$D$35,$B9,'Exemple registre'!$B$11:$B$35,"&lt;&gt;")</f>
        <v>6</v>
      </c>
      <c r="F9" s="24" t="n">
        <f aca="false">IF(E9=0,"",SUMPRODUCT(MAX(('Exemple registre'!$D$11:$D$35=$B9)*'Exemple registre'!$B$11:$B$35)))</f>
        <v>46301</v>
      </c>
      <c r="G9" s="31" t="n">
        <f aca="false">COUNTIFS('Exemple registre'!$D$11:$D$35,$B9,'Exemple registre'!$S$11:$S$35,"Sans suite")</f>
        <v>3</v>
      </c>
      <c r="H9" s="31" t="n">
        <f aca="false">COUNTIFS('Exemple registre'!$D$11:$D$35,$B9,'Exemple registre'!$J$11:$J$35,"&lt;&gt;")</f>
        <v>3</v>
      </c>
      <c r="I9" s="31" t="n">
        <f aca="false">COUNTIFS('Exemple registre'!$D$11:$D$35,$B9,'Exemple registre'!$S$11:$S$35,"Exploité")</f>
        <v>3</v>
      </c>
      <c r="J9" s="31" t="n">
        <f aca="false">E9-G9-I9</f>
        <v>0</v>
      </c>
      <c r="K9" s="32" t="n">
        <f aca="false">IFERROR(I9/(E9-G9),"")</f>
        <v>1</v>
      </c>
      <c r="L9" s="30" t="str">
        <f aca="false">IF(C9=0,"Aucune source définie.",IF(E9=0,"Aucun passage enregistré : la veille n’est pas démontrable.",IF(D9&gt;0,"Des sources sont en retard : à relancer.",IF(J9&gt;0,"Des passages restent à exploiter.","Veille à jour et exploitée."))))</f>
        <v>Des sources sont en retard : à relancer.</v>
      </c>
    </row>
    <row r="10" customFormat="false" ht="33.75" hidden="false" customHeight="true" outlineLevel="0" collapsed="false">
      <c r="B10" s="11" t="str">
        <f aca="false">Listes!$A$6</f>
        <v>Innovations pédagogiques et technologiques (indicateur 25)</v>
      </c>
      <c r="C10" s="31" t="n">
        <f aca="false">COUNTIFS('Exemple planning'!$B$11:$B$25,$B10,'Exemple planning'!$C$11:$C$25,"&lt;&gt;")</f>
        <v>3</v>
      </c>
      <c r="D10" s="25" t="n">
        <f aca="false">COUNTIFS('Exemple planning'!$B$11:$B$25,$B10,'Exemple planning'!$L$11:$L$25,"En retard")</f>
        <v>0</v>
      </c>
      <c r="E10" s="31" t="n">
        <f aca="false">COUNTIFS('Exemple registre'!$D$11:$D$35,$B10,'Exemple registre'!$B$11:$B$35,"&lt;&gt;")</f>
        <v>5</v>
      </c>
      <c r="F10" s="24" t="n">
        <f aca="false">IF(E10=0,"",SUMPRODUCT(MAX(('Exemple registre'!$D$11:$D$35=$B10)*'Exemple registre'!$B$11:$B$35)))</f>
        <v>46309</v>
      </c>
      <c r="G10" s="31" t="n">
        <f aca="false">COUNTIFS('Exemple registre'!$D$11:$D$35,$B10,'Exemple registre'!$S$11:$S$35,"Sans suite")</f>
        <v>0</v>
      </c>
      <c r="H10" s="31" t="n">
        <f aca="false">COUNTIFS('Exemple registre'!$D$11:$D$35,$B10,'Exemple registre'!$J$11:$J$35,"&lt;&gt;")</f>
        <v>5</v>
      </c>
      <c r="I10" s="31" t="n">
        <f aca="false">COUNTIFS('Exemple registre'!$D$11:$D$35,$B10,'Exemple registre'!$S$11:$S$35,"Exploité")</f>
        <v>3</v>
      </c>
      <c r="J10" s="31" t="n">
        <f aca="false">E10-G10-I10</f>
        <v>2</v>
      </c>
      <c r="K10" s="32" t="n">
        <f aca="false">IFERROR(I10/(E10-G10),"")</f>
        <v>0.6</v>
      </c>
      <c r="L10" s="30" t="str">
        <f aca="false">IF(C10=0,"Aucune source définie.",IF(E10=0,"Aucun passage enregistré : la veille n’est pas démontrable.",IF(D10&gt;0,"Des sources sont en retard : à relancer.",IF(J10&gt;0,"Des passages restent à exploiter.","Veille à jour et exploitée."))))</f>
        <v>Des passages restent à exploiter.</v>
      </c>
    </row>
    <row r="11" customFormat="false" ht="21.75" hidden="false" customHeight="true" outlineLevel="0" collapsed="false">
      <c r="B11" s="11" t="s">
        <v>131</v>
      </c>
      <c r="C11" s="13" t="n">
        <f aca="false">SUM(C8:C10)</f>
        <v>12</v>
      </c>
      <c r="D11" s="13" t="n">
        <f aca="false">SUM(D8:D10)</f>
        <v>2</v>
      </c>
      <c r="E11" s="13" t="n">
        <f aca="false">SUM(E8:E10)</f>
        <v>22</v>
      </c>
      <c r="F11" s="26" t="n">
        <f aca="false">IF(E11=0,"",MAX(F8:F10))</f>
        <v>46309</v>
      </c>
      <c r="G11" s="13" t="n">
        <f aca="false">SUM(G8:G10)</f>
        <v>7</v>
      </c>
      <c r="H11" s="13" t="n">
        <f aca="false">SUM(H8:H10)</f>
        <v>15</v>
      </c>
      <c r="I11" s="13" t="n">
        <f aca="false">SUM(I8:I10)</f>
        <v>12</v>
      </c>
      <c r="J11" s="13" t="n">
        <f aca="false">SUM(J8:J10)</f>
        <v>3</v>
      </c>
      <c r="K11" s="32" t="n">
        <f aca="false">IFERROR(I11/(E11-G11),"")</f>
        <v>0.8</v>
      </c>
      <c r="L11" s="30"/>
    </row>
    <row r="12" customFormat="false" ht="18" hidden="false" customHeight="true" outlineLevel="0" collapsed="false">
      <c r="B12" s="27" t="s">
        <v>132</v>
      </c>
      <c r="C12" s="27"/>
      <c r="D12" s="27"/>
      <c r="E12" s="27"/>
      <c r="F12" s="27"/>
      <c r="G12" s="27"/>
      <c r="H12" s="27"/>
      <c r="I12" s="27"/>
      <c r="J12" s="27"/>
      <c r="K12" s="27"/>
      <c r="L12" s="27"/>
    </row>
    <row r="14" customFormat="false" ht="19.5" hidden="false" customHeight="true" outlineLevel="0" collapsed="false">
      <c r="B14" s="16" t="s">
        <v>133</v>
      </c>
      <c r="C14" s="16"/>
      <c r="D14" s="16"/>
      <c r="E14" s="16"/>
      <c r="F14" s="16"/>
    </row>
    <row r="15" customFormat="false" ht="39.75" hidden="false" customHeight="true" outlineLevel="0" collapsed="false">
      <c r="B15" s="18" t="s">
        <v>134</v>
      </c>
      <c r="C15" s="18" t="s">
        <v>135</v>
      </c>
      <c r="D15" s="18" t="s">
        <v>136</v>
      </c>
      <c r="E15" s="18" t="s">
        <v>137</v>
      </c>
      <c r="F15" s="18" t="s">
        <v>138</v>
      </c>
    </row>
    <row r="16" customFormat="false" ht="19.5" hidden="false" customHeight="true" outlineLevel="0" collapsed="false">
      <c r="B16" s="33" t="str">
        <f aca="false">TEXT(MONTH(EDATE('Exemple planning'!$D$5,0)),"00")&amp;"/"&amp;YEAR(EDATE('Exemple planning'!$D$5,0))</f>
        <v>03/2026</v>
      </c>
      <c r="C16" s="34" t="n">
        <f aca="false">COUNTIFS('Exemple registre'!$D$11:$D$35,Listes!$A$4,'Exemple registre'!$B$11:$B$35,"&gt;="&amp;EDATE('Exemple planning'!$D$5,0),'Exemple registre'!$B$11:$B$35,"&lt;"&amp;EDATE('Exemple planning'!$D$5,1))</f>
        <v>0</v>
      </c>
      <c r="D16" s="34" t="n">
        <f aca="false">COUNTIFS('Exemple registre'!$D$11:$D$35,Listes!$A$5,'Exemple registre'!$B$11:$B$35,"&gt;="&amp;EDATE('Exemple planning'!$D$5,0),'Exemple registre'!$B$11:$B$35,"&lt;"&amp;EDATE('Exemple planning'!$D$5,1))</f>
        <v>0</v>
      </c>
      <c r="E16" s="34" t="n">
        <f aca="false">COUNTIFS('Exemple registre'!$D$11:$D$35,Listes!$A$6,'Exemple registre'!$B$11:$B$35,"&gt;="&amp;EDATE('Exemple planning'!$D$5,0),'Exemple registre'!$B$11:$B$35,"&lt;"&amp;EDATE('Exemple planning'!$D$5,1))</f>
        <v>1</v>
      </c>
      <c r="F16" s="35" t="n">
        <f aca="false">SUM(C16:E16)</f>
        <v>1</v>
      </c>
    </row>
    <row r="17" customFormat="false" ht="19.5" hidden="false" customHeight="true" outlineLevel="0" collapsed="false">
      <c r="B17" s="33" t="str">
        <f aca="false">TEXT(MONTH(EDATE('Exemple planning'!$D$5,1)),"00")&amp;"/"&amp;YEAR(EDATE('Exemple planning'!$D$5,1))</f>
        <v>04/2026</v>
      </c>
      <c r="C17" s="34" t="n">
        <f aca="false">COUNTIFS('Exemple registre'!$D$11:$D$35,Listes!$A$4,'Exemple registre'!$B$11:$B$35,"&gt;="&amp;EDATE('Exemple planning'!$D$5,1),'Exemple registre'!$B$11:$B$35,"&lt;"&amp;EDATE('Exemple planning'!$D$5,2))</f>
        <v>0</v>
      </c>
      <c r="D17" s="34" t="n">
        <f aca="false">COUNTIFS('Exemple registre'!$D$11:$D$35,Listes!$A$5,'Exemple registre'!$B$11:$B$35,"&gt;="&amp;EDATE('Exemple planning'!$D$5,1),'Exemple registre'!$B$11:$B$35,"&lt;"&amp;EDATE('Exemple planning'!$D$5,2))</f>
        <v>0</v>
      </c>
      <c r="E17" s="34" t="n">
        <f aca="false">COUNTIFS('Exemple registre'!$D$11:$D$35,Listes!$A$6,'Exemple registre'!$B$11:$B$35,"&gt;="&amp;EDATE('Exemple planning'!$D$5,1),'Exemple registre'!$B$11:$B$35,"&lt;"&amp;EDATE('Exemple planning'!$D$5,2))</f>
        <v>0</v>
      </c>
      <c r="F17" s="35" t="n">
        <f aca="false">SUM(C17:E17)</f>
        <v>0</v>
      </c>
    </row>
    <row r="18" customFormat="false" ht="19.5" hidden="false" customHeight="true" outlineLevel="0" collapsed="false">
      <c r="B18" s="33" t="str">
        <f aca="false">TEXT(MONTH(EDATE('Exemple planning'!$D$5,2)),"00")&amp;"/"&amp;YEAR(EDATE('Exemple planning'!$D$5,2))</f>
        <v>05/2026</v>
      </c>
      <c r="C18" s="34" t="n">
        <f aca="false">COUNTIFS('Exemple registre'!$D$11:$D$35,Listes!$A$4,'Exemple registre'!$B$11:$B$35,"&gt;="&amp;EDATE('Exemple planning'!$D$5,2),'Exemple registre'!$B$11:$B$35,"&lt;"&amp;EDATE('Exemple planning'!$D$5,3))</f>
        <v>0</v>
      </c>
      <c r="D18" s="34" t="n">
        <f aca="false">COUNTIFS('Exemple registre'!$D$11:$D$35,Listes!$A$5,'Exemple registre'!$B$11:$B$35,"&gt;="&amp;EDATE('Exemple planning'!$D$5,2),'Exemple registre'!$B$11:$B$35,"&lt;"&amp;EDATE('Exemple planning'!$D$5,3))</f>
        <v>0</v>
      </c>
      <c r="E18" s="34" t="n">
        <f aca="false">COUNTIFS('Exemple registre'!$D$11:$D$35,Listes!$A$6,'Exemple registre'!$B$11:$B$35,"&gt;="&amp;EDATE('Exemple planning'!$D$5,2),'Exemple registre'!$B$11:$B$35,"&lt;"&amp;EDATE('Exemple planning'!$D$5,3))</f>
        <v>0</v>
      </c>
      <c r="F18" s="35" t="n">
        <f aca="false">SUM(C18:E18)</f>
        <v>0</v>
      </c>
    </row>
    <row r="19" customFormat="false" ht="19.5" hidden="false" customHeight="true" outlineLevel="0" collapsed="false">
      <c r="B19" s="33" t="str">
        <f aca="false">TEXT(MONTH(EDATE('Exemple planning'!$D$5,3)),"00")&amp;"/"&amp;YEAR(EDATE('Exemple planning'!$D$5,3))</f>
        <v>06/2026</v>
      </c>
      <c r="C19" s="34" t="n">
        <f aca="false">COUNTIFS('Exemple registre'!$D$11:$D$35,Listes!$A$4,'Exemple registre'!$B$11:$B$35,"&gt;="&amp;EDATE('Exemple planning'!$D$5,3),'Exemple registre'!$B$11:$B$35,"&lt;"&amp;EDATE('Exemple planning'!$D$5,4))</f>
        <v>0</v>
      </c>
      <c r="D19" s="34" t="n">
        <f aca="false">COUNTIFS('Exemple registre'!$D$11:$D$35,Listes!$A$5,'Exemple registre'!$B$11:$B$35,"&gt;="&amp;EDATE('Exemple planning'!$D$5,3),'Exemple registre'!$B$11:$B$35,"&lt;"&amp;EDATE('Exemple planning'!$D$5,4))</f>
        <v>1</v>
      </c>
      <c r="E19" s="34" t="n">
        <f aca="false">COUNTIFS('Exemple registre'!$D$11:$D$35,Listes!$A$6,'Exemple registre'!$B$11:$B$35,"&gt;="&amp;EDATE('Exemple planning'!$D$5,3),'Exemple registre'!$B$11:$B$35,"&lt;"&amp;EDATE('Exemple planning'!$D$5,4))</f>
        <v>0</v>
      </c>
      <c r="F19" s="35" t="n">
        <f aca="false">SUM(C19:E19)</f>
        <v>1</v>
      </c>
    </row>
    <row r="20" customFormat="false" ht="19.5" hidden="false" customHeight="true" outlineLevel="0" collapsed="false">
      <c r="B20" s="33" t="str">
        <f aca="false">TEXT(MONTH(EDATE('Exemple planning'!$D$5,4)),"00")&amp;"/"&amp;YEAR(EDATE('Exemple planning'!$D$5,4))</f>
        <v>07/2026</v>
      </c>
      <c r="C20" s="34" t="n">
        <f aca="false">COUNTIFS('Exemple registre'!$D$11:$D$35,Listes!$A$4,'Exemple registre'!$B$11:$B$35,"&gt;="&amp;EDATE('Exemple planning'!$D$5,4),'Exemple registre'!$B$11:$B$35,"&lt;"&amp;EDATE('Exemple planning'!$D$5,5))</f>
        <v>3</v>
      </c>
      <c r="D20" s="34" t="n">
        <f aca="false">COUNTIFS('Exemple registre'!$D$11:$D$35,Listes!$A$5,'Exemple registre'!$B$11:$B$35,"&gt;="&amp;EDATE('Exemple planning'!$D$5,4),'Exemple registre'!$B$11:$B$35,"&lt;"&amp;EDATE('Exemple planning'!$D$5,5))</f>
        <v>1</v>
      </c>
      <c r="E20" s="34" t="n">
        <f aca="false">COUNTIFS('Exemple registre'!$D$11:$D$35,Listes!$A$6,'Exemple registre'!$B$11:$B$35,"&gt;="&amp;EDATE('Exemple planning'!$D$5,4),'Exemple registre'!$B$11:$B$35,"&lt;"&amp;EDATE('Exemple planning'!$D$5,5))</f>
        <v>2</v>
      </c>
      <c r="F20" s="35" t="n">
        <f aca="false">SUM(C20:E20)</f>
        <v>6</v>
      </c>
    </row>
    <row r="21" customFormat="false" ht="19.5" hidden="false" customHeight="true" outlineLevel="0" collapsed="false">
      <c r="B21" s="33" t="str">
        <f aca="false">TEXT(MONTH(EDATE('Exemple planning'!$D$5,5)),"00")&amp;"/"&amp;YEAR(EDATE('Exemple planning'!$D$5,5))</f>
        <v>08/2026</v>
      </c>
      <c r="C21" s="34" t="n">
        <f aca="false">COUNTIFS('Exemple registre'!$D$11:$D$35,Listes!$A$4,'Exemple registre'!$B$11:$B$35,"&gt;="&amp;EDATE('Exemple planning'!$D$5,5),'Exemple registre'!$B$11:$B$35,"&lt;"&amp;EDATE('Exemple planning'!$D$5,6))</f>
        <v>3</v>
      </c>
      <c r="D21" s="34" t="n">
        <f aca="false">COUNTIFS('Exemple registre'!$D$11:$D$35,Listes!$A$5,'Exemple registre'!$B$11:$B$35,"&gt;="&amp;EDATE('Exemple planning'!$D$5,5),'Exemple registre'!$B$11:$B$35,"&lt;"&amp;EDATE('Exemple planning'!$D$5,6))</f>
        <v>1</v>
      </c>
      <c r="E21" s="34" t="n">
        <f aca="false">COUNTIFS('Exemple registre'!$D$11:$D$35,Listes!$A$6,'Exemple registre'!$B$11:$B$35,"&gt;="&amp;EDATE('Exemple planning'!$D$5,5),'Exemple registre'!$B$11:$B$35,"&lt;"&amp;EDATE('Exemple planning'!$D$5,6))</f>
        <v>0</v>
      </c>
      <c r="F21" s="35" t="n">
        <f aca="false">SUM(C21:E21)</f>
        <v>4</v>
      </c>
    </row>
    <row r="22" customFormat="false" ht="19.5" hidden="false" customHeight="true" outlineLevel="0" collapsed="false">
      <c r="B22" s="33" t="str">
        <f aca="false">TEXT(MONTH(EDATE('Exemple planning'!$D$5,6)),"00")&amp;"/"&amp;YEAR(EDATE('Exemple planning'!$D$5,6))</f>
        <v>09/2026</v>
      </c>
      <c r="C22" s="34" t="n">
        <f aca="false">COUNTIFS('Exemple registre'!$D$11:$D$35,Listes!$A$4,'Exemple registre'!$B$11:$B$35,"&gt;="&amp;EDATE('Exemple planning'!$D$5,6),'Exemple registre'!$B$11:$B$35,"&lt;"&amp;EDATE('Exemple planning'!$D$5,7))</f>
        <v>4</v>
      </c>
      <c r="D22" s="34" t="n">
        <f aca="false">COUNTIFS('Exemple registre'!$D$11:$D$35,Listes!$A$5,'Exemple registre'!$B$11:$B$35,"&gt;="&amp;EDATE('Exemple planning'!$D$5,6),'Exemple registre'!$B$11:$B$35,"&lt;"&amp;EDATE('Exemple planning'!$D$5,7))</f>
        <v>2</v>
      </c>
      <c r="E22" s="34" t="n">
        <f aca="false">COUNTIFS('Exemple registre'!$D$11:$D$35,Listes!$A$6,'Exemple registre'!$B$11:$B$35,"&gt;="&amp;EDATE('Exemple planning'!$D$5,6),'Exemple registre'!$B$11:$B$35,"&lt;"&amp;EDATE('Exemple planning'!$D$5,7))</f>
        <v>0</v>
      </c>
      <c r="F22" s="35" t="n">
        <f aca="false">SUM(C22:E22)</f>
        <v>6</v>
      </c>
    </row>
    <row r="23" customFormat="false" ht="19.5" hidden="false" customHeight="true" outlineLevel="0" collapsed="false">
      <c r="B23" s="33" t="str">
        <f aca="false">TEXT(MONTH(EDATE('Exemple planning'!$D$5,7)),"00")&amp;"/"&amp;YEAR(EDATE('Exemple planning'!$D$5,7))</f>
        <v>10/2026</v>
      </c>
      <c r="C23" s="34" t="n">
        <f aca="false">COUNTIFS('Exemple registre'!$D$11:$D$35,Listes!$A$4,'Exemple registre'!$B$11:$B$35,"&gt;="&amp;EDATE('Exemple planning'!$D$5,7),'Exemple registre'!$B$11:$B$35,"&lt;"&amp;EDATE('Exemple planning'!$D$5,8))</f>
        <v>1</v>
      </c>
      <c r="D23" s="34" t="n">
        <f aca="false">COUNTIFS('Exemple registre'!$D$11:$D$35,Listes!$A$5,'Exemple registre'!$B$11:$B$35,"&gt;="&amp;EDATE('Exemple planning'!$D$5,7),'Exemple registre'!$B$11:$B$35,"&lt;"&amp;EDATE('Exemple planning'!$D$5,8))</f>
        <v>1</v>
      </c>
      <c r="E23" s="34" t="n">
        <f aca="false">COUNTIFS('Exemple registre'!$D$11:$D$35,Listes!$A$6,'Exemple registre'!$B$11:$B$35,"&gt;="&amp;EDATE('Exemple planning'!$D$5,7),'Exemple registre'!$B$11:$B$35,"&lt;"&amp;EDATE('Exemple planning'!$D$5,8))</f>
        <v>2</v>
      </c>
      <c r="F23" s="35" t="n">
        <f aca="false">SUM(C23:E23)</f>
        <v>4</v>
      </c>
    </row>
    <row r="24" customFormat="false" ht="19.5" hidden="false" customHeight="true" outlineLevel="0" collapsed="false">
      <c r="B24" s="33" t="str">
        <f aca="false">TEXT(MONTH(EDATE('Exemple planning'!$D$5,8)),"00")&amp;"/"&amp;YEAR(EDATE('Exemple planning'!$D$5,8))</f>
        <v>11/2026</v>
      </c>
      <c r="C24" s="34" t="n">
        <f aca="false">COUNTIFS('Exemple registre'!$D$11:$D$35,Listes!$A$4,'Exemple registre'!$B$11:$B$35,"&gt;="&amp;EDATE('Exemple planning'!$D$5,8),'Exemple registre'!$B$11:$B$35,"&lt;"&amp;EDATE('Exemple planning'!$D$5,9))</f>
        <v>0</v>
      </c>
      <c r="D24" s="34" t="n">
        <f aca="false">COUNTIFS('Exemple registre'!$D$11:$D$35,Listes!$A$5,'Exemple registre'!$B$11:$B$35,"&gt;="&amp;EDATE('Exemple planning'!$D$5,8),'Exemple registre'!$B$11:$B$35,"&lt;"&amp;EDATE('Exemple planning'!$D$5,9))</f>
        <v>0</v>
      </c>
      <c r="E24" s="34" t="n">
        <f aca="false">COUNTIFS('Exemple registre'!$D$11:$D$35,Listes!$A$6,'Exemple registre'!$B$11:$B$35,"&gt;="&amp;EDATE('Exemple planning'!$D$5,8),'Exemple registre'!$B$11:$B$35,"&lt;"&amp;EDATE('Exemple planning'!$D$5,9))</f>
        <v>0</v>
      </c>
      <c r="F24" s="35" t="n">
        <f aca="false">SUM(C24:E24)</f>
        <v>0</v>
      </c>
    </row>
    <row r="25" customFormat="false" ht="19.5" hidden="false" customHeight="true" outlineLevel="0" collapsed="false">
      <c r="B25" s="33" t="str">
        <f aca="false">TEXT(MONTH(EDATE('Exemple planning'!$D$5,9)),"00")&amp;"/"&amp;YEAR(EDATE('Exemple planning'!$D$5,9))</f>
        <v>12/2026</v>
      </c>
      <c r="C25" s="34" t="n">
        <f aca="false">COUNTIFS('Exemple registre'!$D$11:$D$35,Listes!$A$4,'Exemple registre'!$B$11:$B$35,"&gt;="&amp;EDATE('Exemple planning'!$D$5,9),'Exemple registre'!$B$11:$B$35,"&lt;"&amp;EDATE('Exemple planning'!$D$5,10))</f>
        <v>0</v>
      </c>
      <c r="D25" s="34" t="n">
        <f aca="false">COUNTIFS('Exemple registre'!$D$11:$D$35,Listes!$A$5,'Exemple registre'!$B$11:$B$35,"&gt;="&amp;EDATE('Exemple planning'!$D$5,9),'Exemple registre'!$B$11:$B$35,"&lt;"&amp;EDATE('Exemple planning'!$D$5,10))</f>
        <v>0</v>
      </c>
      <c r="E25" s="34" t="n">
        <f aca="false">COUNTIFS('Exemple registre'!$D$11:$D$35,Listes!$A$6,'Exemple registre'!$B$11:$B$35,"&gt;="&amp;EDATE('Exemple planning'!$D$5,9),'Exemple registre'!$B$11:$B$35,"&lt;"&amp;EDATE('Exemple planning'!$D$5,10))</f>
        <v>0</v>
      </c>
      <c r="F25" s="35" t="n">
        <f aca="false">SUM(C25:E25)</f>
        <v>0</v>
      </c>
    </row>
    <row r="26" customFormat="false" ht="19.5" hidden="false" customHeight="true" outlineLevel="0" collapsed="false">
      <c r="B26" s="33" t="str">
        <f aca="false">TEXT(MONTH(EDATE('Exemple planning'!$D$5,10)),"00")&amp;"/"&amp;YEAR(EDATE('Exemple planning'!$D$5,10))</f>
        <v>01/2027</v>
      </c>
      <c r="C26" s="34" t="n">
        <f aca="false">COUNTIFS('Exemple registre'!$D$11:$D$35,Listes!$A$4,'Exemple registre'!$B$11:$B$35,"&gt;="&amp;EDATE('Exemple planning'!$D$5,10),'Exemple registre'!$B$11:$B$35,"&lt;"&amp;EDATE('Exemple planning'!$D$5,11))</f>
        <v>0</v>
      </c>
      <c r="D26" s="34" t="n">
        <f aca="false">COUNTIFS('Exemple registre'!$D$11:$D$35,Listes!$A$5,'Exemple registre'!$B$11:$B$35,"&gt;="&amp;EDATE('Exemple planning'!$D$5,10),'Exemple registre'!$B$11:$B$35,"&lt;"&amp;EDATE('Exemple planning'!$D$5,11))</f>
        <v>0</v>
      </c>
      <c r="E26" s="34" t="n">
        <f aca="false">COUNTIFS('Exemple registre'!$D$11:$D$35,Listes!$A$6,'Exemple registre'!$B$11:$B$35,"&gt;="&amp;EDATE('Exemple planning'!$D$5,10),'Exemple registre'!$B$11:$B$35,"&lt;"&amp;EDATE('Exemple planning'!$D$5,11))</f>
        <v>0</v>
      </c>
      <c r="F26" s="35" t="n">
        <f aca="false">SUM(C26:E26)</f>
        <v>0</v>
      </c>
    </row>
    <row r="27" customFormat="false" ht="19.5" hidden="false" customHeight="true" outlineLevel="0" collapsed="false">
      <c r="B27" s="33" t="str">
        <f aca="false">TEXT(MONTH(EDATE('Exemple planning'!$D$5,11)),"00")&amp;"/"&amp;YEAR(EDATE('Exemple planning'!$D$5,11))</f>
        <v>02/2027</v>
      </c>
      <c r="C27" s="34" t="n">
        <f aca="false">COUNTIFS('Exemple registre'!$D$11:$D$35,Listes!$A$4,'Exemple registre'!$B$11:$B$35,"&gt;="&amp;EDATE('Exemple planning'!$D$5,11),'Exemple registre'!$B$11:$B$35,"&lt;"&amp;EDATE('Exemple planning'!$D$5,12))</f>
        <v>0</v>
      </c>
      <c r="D27" s="34" t="n">
        <f aca="false">COUNTIFS('Exemple registre'!$D$11:$D$35,Listes!$A$5,'Exemple registre'!$B$11:$B$35,"&gt;="&amp;EDATE('Exemple planning'!$D$5,11),'Exemple registre'!$B$11:$B$35,"&lt;"&amp;EDATE('Exemple planning'!$D$5,12))</f>
        <v>0</v>
      </c>
      <c r="E27" s="34" t="n">
        <f aca="false">COUNTIFS('Exemple registre'!$D$11:$D$35,Listes!$A$6,'Exemple registre'!$B$11:$B$35,"&gt;="&amp;EDATE('Exemple planning'!$D$5,11),'Exemple registre'!$B$11:$B$35,"&lt;"&amp;EDATE('Exemple planning'!$D$5,12))</f>
        <v>0</v>
      </c>
      <c r="F27" s="35" t="n">
        <f aca="false">SUM(C27:E27)</f>
        <v>0</v>
      </c>
    </row>
    <row r="28" customFormat="false" ht="21.75" hidden="false" customHeight="true" outlineLevel="0" collapsed="false">
      <c r="B28" s="33" t="s">
        <v>138</v>
      </c>
      <c r="C28" s="13" t="n">
        <f aca="false">SUM(C16:C27)</f>
        <v>11</v>
      </c>
      <c r="D28" s="13" t="n">
        <f aca="false">SUM(D16:D27)</f>
        <v>6</v>
      </c>
      <c r="E28" s="13" t="n">
        <f aca="false">SUM(E16:E27)</f>
        <v>5</v>
      </c>
      <c r="F28" s="13" t="n">
        <f aca="false">SUM(F16:F27)</f>
        <v>22</v>
      </c>
    </row>
    <row r="30" customFormat="false" ht="19.5" hidden="false" customHeight="true" outlineLevel="0" collapsed="false">
      <c r="B30" s="16" t="s">
        <v>139</v>
      </c>
      <c r="C30" s="16"/>
      <c r="D30" s="16"/>
      <c r="E30" s="16"/>
      <c r="F30" s="16"/>
      <c r="G30" s="16"/>
      <c r="H30" s="16"/>
      <c r="I30" s="16"/>
      <c r="J30" s="16"/>
      <c r="K30" s="16"/>
      <c r="L30" s="16"/>
    </row>
    <row r="31" customFormat="false" ht="21.75" hidden="false" customHeight="true" outlineLevel="0" collapsed="false">
      <c r="B31" s="18" t="s">
        <v>140</v>
      </c>
      <c r="C31" s="18"/>
      <c r="D31" s="18"/>
      <c r="E31" s="18"/>
      <c r="F31" s="18" t="s">
        <v>141</v>
      </c>
      <c r="G31" s="18" t="s">
        <v>142</v>
      </c>
      <c r="H31" s="18"/>
      <c r="I31" s="18"/>
      <c r="J31" s="18"/>
      <c r="K31" s="18"/>
      <c r="L31" s="18"/>
    </row>
    <row r="32" customFormat="false" ht="18" hidden="false" customHeight="true" outlineLevel="0" collapsed="false">
      <c r="B32" s="11" t="s">
        <v>143</v>
      </c>
      <c r="C32" s="11"/>
      <c r="D32" s="11"/>
      <c r="E32" s="11"/>
      <c r="F32" s="13" t="n">
        <f aca="false">SUMPRODUCT(('Exemple planning'!$C$11:$C$25&lt;&gt;"")*('Exemple planning'!$H$11:$H$25=""))</f>
        <v>0</v>
      </c>
      <c r="G32" s="36" t="s">
        <v>144</v>
      </c>
      <c r="H32" s="36"/>
      <c r="I32" s="36"/>
      <c r="J32" s="36"/>
      <c r="K32" s="36"/>
      <c r="L32" s="36"/>
    </row>
    <row r="33" customFormat="false" ht="18" hidden="false" customHeight="true" outlineLevel="0" collapsed="false">
      <c r="B33" s="11" t="s">
        <v>145</v>
      </c>
      <c r="C33" s="11"/>
      <c r="D33" s="11"/>
      <c r="E33" s="11"/>
      <c r="F33" s="13" t="n">
        <f aca="false">SUMPRODUCT(('Exemple planning'!$C$11:$C$25&lt;&gt;"")*('Exemple planning'!$F$11:$F$25=""))</f>
        <v>0</v>
      </c>
      <c r="G33" s="36" t="s">
        <v>146</v>
      </c>
      <c r="H33" s="36"/>
      <c r="I33" s="36"/>
      <c r="J33" s="36"/>
      <c r="K33" s="36"/>
      <c r="L33" s="36"/>
    </row>
    <row r="34" customFormat="false" ht="18" hidden="false" customHeight="true" outlineLevel="0" collapsed="false">
      <c r="B34" s="11" t="s">
        <v>38</v>
      </c>
      <c r="C34" s="11"/>
      <c r="D34" s="11"/>
      <c r="E34" s="11"/>
      <c r="F34" s="13" t="n">
        <f aca="false">SUMPRODUCT(('Exemple planning'!$C$11:$C$25&lt;&gt;"")*('Exemple planning'!$J$11:$J$25=""))</f>
        <v>1</v>
      </c>
      <c r="G34" s="36" t="s">
        <v>147</v>
      </c>
      <c r="H34" s="36"/>
      <c r="I34" s="36"/>
      <c r="J34" s="36"/>
      <c r="K34" s="36"/>
      <c r="L34" s="36"/>
    </row>
    <row r="35" customFormat="false" ht="18" hidden="false" customHeight="true" outlineLevel="0" collapsed="false">
      <c r="B35" s="11" t="s">
        <v>35</v>
      </c>
      <c r="C35" s="11"/>
      <c r="D35" s="11"/>
      <c r="E35" s="11"/>
      <c r="F35" s="13" t="n">
        <f aca="false">COUNTIF('Exemple planning'!$L$11:$L$25,"En retard")</f>
        <v>2</v>
      </c>
      <c r="G35" s="36" t="s">
        <v>148</v>
      </c>
      <c r="H35" s="36"/>
      <c r="I35" s="36"/>
      <c r="J35" s="36"/>
      <c r="K35" s="36"/>
      <c r="L35" s="36"/>
    </row>
    <row r="36" customFormat="false" ht="18" hidden="false" customHeight="true" outlineLevel="0" collapsed="false">
      <c r="B36" s="11" t="s">
        <v>149</v>
      </c>
      <c r="C36" s="11"/>
      <c r="D36" s="11"/>
      <c r="E36" s="11"/>
      <c r="F36" s="13" t="n">
        <f aca="false">COUNTIF('Exemple registre'!$D$11:$D$35,"Source inconnue")</f>
        <v>0</v>
      </c>
      <c r="G36" s="36" t="s">
        <v>150</v>
      </c>
      <c r="H36" s="36"/>
      <c r="I36" s="36"/>
      <c r="J36" s="36"/>
      <c r="K36" s="36"/>
      <c r="L36" s="36"/>
    </row>
    <row r="37" customFormat="false" ht="18" hidden="false" customHeight="true" outlineLevel="0" collapsed="false">
      <c r="B37" s="11" t="s">
        <v>151</v>
      </c>
      <c r="C37" s="11"/>
      <c r="D37" s="11"/>
      <c r="E37" s="11"/>
      <c r="F37" s="13" t="n">
        <f aca="false">COUNTIF('Exemple registre'!$S$11:$S$35,"Pertinence à évaluer")</f>
        <v>0</v>
      </c>
      <c r="G37" s="36" t="s">
        <v>152</v>
      </c>
      <c r="H37" s="36"/>
      <c r="I37" s="36"/>
      <c r="J37" s="36"/>
      <c r="K37" s="36"/>
      <c r="L37" s="36"/>
    </row>
    <row r="38" customFormat="false" ht="18" hidden="false" customHeight="true" outlineLevel="0" collapsed="false">
      <c r="B38" s="11" t="s">
        <v>94</v>
      </c>
      <c r="C38" s="11"/>
      <c r="D38" s="11"/>
      <c r="E38" s="11"/>
      <c r="F38" s="13" t="n">
        <f aca="false">COUNTIF('Exemple registre'!$S$11:$S$35,"À diffuser")</f>
        <v>0</v>
      </c>
      <c r="G38" s="36" t="s">
        <v>153</v>
      </c>
      <c r="H38" s="36"/>
      <c r="I38" s="36"/>
      <c r="J38" s="36"/>
      <c r="K38" s="36"/>
      <c r="L38" s="36"/>
    </row>
    <row r="39" customFormat="false" ht="18" hidden="false" customHeight="true" outlineLevel="0" collapsed="false">
      <c r="B39" s="11" t="s">
        <v>154</v>
      </c>
      <c r="C39" s="11"/>
      <c r="D39" s="11"/>
      <c r="E39" s="11"/>
      <c r="F39" s="13" t="n">
        <f aca="false">COUNTIF('Exemple registre'!$S$11:$S$35,"Enseignement à rédiger")</f>
        <v>0</v>
      </c>
      <c r="G39" s="36" t="s">
        <v>155</v>
      </c>
      <c r="H39" s="36"/>
      <c r="I39" s="36"/>
      <c r="J39" s="36"/>
      <c r="K39" s="36"/>
      <c r="L39" s="36"/>
    </row>
    <row r="40" customFormat="false" ht="18" hidden="false" customHeight="true" outlineLevel="0" collapsed="false">
      <c r="B40" s="11" t="s">
        <v>156</v>
      </c>
      <c r="C40" s="11"/>
      <c r="D40" s="11"/>
      <c r="E40" s="11"/>
      <c r="F40" s="13" t="n">
        <f aca="false">COUNTIF('Exemple registre'!$S$11:$S$35,"Impact à évaluer")</f>
        <v>0</v>
      </c>
      <c r="G40" s="36" t="s">
        <v>157</v>
      </c>
      <c r="H40" s="36"/>
      <c r="I40" s="36"/>
      <c r="J40" s="36"/>
      <c r="K40" s="36"/>
      <c r="L40" s="36"/>
    </row>
    <row r="41" customFormat="false" ht="18" hidden="false" customHeight="true" outlineLevel="0" collapsed="false">
      <c r="B41" s="11" t="s">
        <v>158</v>
      </c>
      <c r="C41" s="11"/>
      <c r="D41" s="11"/>
      <c r="E41" s="11"/>
      <c r="F41" s="13" t="n">
        <f aca="false">COUNTIF('Exemple registre'!$S$11:$S$35,"Action à définir")</f>
        <v>0</v>
      </c>
      <c r="G41" s="36" t="s">
        <v>159</v>
      </c>
      <c r="H41" s="36"/>
      <c r="I41" s="36"/>
      <c r="J41" s="36"/>
      <c r="K41" s="36"/>
      <c r="L41" s="36"/>
    </row>
    <row r="42" customFormat="false" ht="18" hidden="false" customHeight="true" outlineLevel="0" collapsed="false">
      <c r="B42" s="11" t="s">
        <v>96</v>
      </c>
      <c r="C42" s="11"/>
      <c r="D42" s="11"/>
      <c r="E42" s="11"/>
      <c r="F42" s="13" t="n">
        <f aca="false">COUNTIF('Exemple registre'!$S$11:$S$35,"Action en retard")</f>
        <v>1</v>
      </c>
      <c r="G42" s="36" t="s">
        <v>160</v>
      </c>
      <c r="H42" s="36"/>
      <c r="I42" s="36"/>
      <c r="J42" s="36"/>
      <c r="K42" s="36"/>
      <c r="L42" s="36"/>
    </row>
    <row r="44" customFormat="false" ht="19.5" hidden="false" customHeight="true" outlineLevel="0" collapsed="false">
      <c r="B44" s="17" t="s">
        <v>161</v>
      </c>
      <c r="C44" s="17"/>
      <c r="D44" s="17"/>
      <c r="E44" s="17"/>
      <c r="F44" s="17"/>
      <c r="G44" s="17"/>
      <c r="H44" s="17"/>
      <c r="I44" s="17"/>
      <c r="J44" s="17"/>
      <c r="K44" s="17"/>
      <c r="L44" s="17"/>
    </row>
    <row r="45" customFormat="false" ht="37.5" hidden="false" customHeight="true" outlineLevel="0" collapsed="false">
      <c r="B45" s="18" t="s">
        <v>162</v>
      </c>
      <c r="C45" s="18" t="s">
        <v>163</v>
      </c>
      <c r="D45" s="18" t="s">
        <v>164</v>
      </c>
      <c r="E45" s="18" t="s">
        <v>165</v>
      </c>
      <c r="F45" s="18" t="s">
        <v>166</v>
      </c>
      <c r="G45" s="18"/>
      <c r="H45" s="18"/>
      <c r="I45" s="18" t="s">
        <v>55</v>
      </c>
      <c r="J45" s="18"/>
      <c r="K45" s="18" t="s">
        <v>167</v>
      </c>
      <c r="L45" s="18"/>
    </row>
    <row r="46" customFormat="false" ht="25.5" hidden="false" customHeight="true" outlineLevel="0" collapsed="false">
      <c r="B46" s="23" t="n">
        <v>46022</v>
      </c>
      <c r="C46" s="23" t="n">
        <v>46203</v>
      </c>
      <c r="D46" s="23" t="n">
        <v>46233</v>
      </c>
      <c r="E46" s="23" t="n">
        <v>46218</v>
      </c>
      <c r="F46" s="21" t="s">
        <v>280</v>
      </c>
      <c r="G46" s="21"/>
      <c r="H46" s="21"/>
      <c r="I46" s="37" t="str">
        <f aca="false">IF(B46="","",IF(E46&lt;&gt;"","Déposé",IF(B46&gt;'Exemple planning'!$D$4,"Exercice en cours",IF(D46="","Date limite à renseigner",IF(D46&lt;'Exemple planning'!$D$4,"En retard","À déposer")))))</f>
        <v>Déposé</v>
      </c>
      <c r="J46" s="37"/>
      <c r="K46" s="21" t="s">
        <v>281</v>
      </c>
      <c r="L46" s="21"/>
    </row>
    <row r="47" customFormat="false" ht="25.5" hidden="false" customHeight="true" outlineLevel="0" collapsed="false">
      <c r="B47" s="23" t="n">
        <v>45657</v>
      </c>
      <c r="C47" s="23" t="n">
        <v>45833</v>
      </c>
      <c r="D47" s="23" t="n">
        <v>45863</v>
      </c>
      <c r="E47" s="23" t="n">
        <v>45849</v>
      </c>
      <c r="F47" s="21" t="s">
        <v>282</v>
      </c>
      <c r="G47" s="21"/>
      <c r="H47" s="21"/>
      <c r="I47" s="37" t="str">
        <f aca="false">IF(B47="","",IF(E47&lt;&gt;"","Déposé",IF(B47&gt;'Exemple planning'!$D$4,"Exercice en cours",IF(D47="","Date limite à renseigner",IF(D47&lt;'Exemple planning'!$D$4,"En retard","À déposer")))))</f>
        <v>Déposé</v>
      </c>
      <c r="J47" s="37"/>
      <c r="K47" s="21"/>
      <c r="L47" s="21"/>
    </row>
    <row r="48" customFormat="false" ht="25.5" hidden="false" customHeight="true" outlineLevel="0" collapsed="false">
      <c r="B48" s="23" t="n">
        <v>46387</v>
      </c>
      <c r="C48" s="23"/>
      <c r="D48" s="23"/>
      <c r="E48" s="23"/>
      <c r="F48" s="21"/>
      <c r="G48" s="21"/>
      <c r="H48" s="21"/>
      <c r="I48" s="37" t="str">
        <f aca="false">IF(B48="","",IF(E48&lt;&gt;"","Déposé",IF(B48&gt;'Exemple planning'!$D$4,"Exercice en cours",IF(D48="","Date limite à renseigner",IF(D48&lt;'Exemple planning'!$D$4,"En retard","À déposer")))))</f>
        <v>Exercice en cours</v>
      </c>
      <c r="J48" s="37"/>
      <c r="K48" s="21" t="s">
        <v>283</v>
      </c>
      <c r="L48" s="21"/>
    </row>
    <row r="49" customFormat="false" ht="27.75" hidden="false" customHeight="true" outlineLevel="0" collapsed="false">
      <c r="B49" s="27" t="s">
        <v>284</v>
      </c>
      <c r="C49" s="27"/>
      <c r="D49" s="27"/>
      <c r="E49" s="27"/>
      <c r="F49" s="27"/>
      <c r="G49" s="27"/>
      <c r="H49" s="27"/>
      <c r="I49" s="27"/>
      <c r="J49" s="27"/>
      <c r="K49" s="27"/>
      <c r="L49" s="27"/>
    </row>
    <row r="51" customFormat="false" ht="19.5" hidden="false" customHeight="true" outlineLevel="0" collapsed="false">
      <c r="B51" s="17" t="s">
        <v>169</v>
      </c>
      <c r="C51" s="17"/>
      <c r="D51" s="17"/>
      <c r="E51" s="17"/>
      <c r="F51" s="17"/>
      <c r="G51" s="17"/>
      <c r="H51" s="17"/>
      <c r="I51" s="17"/>
      <c r="J51" s="17"/>
      <c r="K51" s="17"/>
      <c r="L51" s="17"/>
    </row>
    <row r="52" customFormat="false" ht="24" hidden="false" customHeight="true" outlineLevel="0" collapsed="false">
      <c r="B52" s="18" t="s">
        <v>170</v>
      </c>
      <c r="C52" s="18" t="s">
        <v>171</v>
      </c>
      <c r="D52" s="18"/>
      <c r="E52" s="18"/>
      <c r="F52" s="18"/>
      <c r="G52" s="18"/>
      <c r="H52" s="18" t="s">
        <v>172</v>
      </c>
      <c r="I52" s="18"/>
      <c r="J52" s="18"/>
      <c r="K52" s="18"/>
      <c r="L52" s="18" t="s">
        <v>173</v>
      </c>
    </row>
    <row r="53" customFormat="false" ht="61.5" hidden="false" customHeight="true" outlineLevel="0" collapsed="false">
      <c r="B53" s="11" t="s">
        <v>174</v>
      </c>
      <c r="C53" s="36" t="s">
        <v>175</v>
      </c>
      <c r="D53" s="36"/>
      <c r="E53" s="36"/>
      <c r="F53" s="36"/>
      <c r="G53" s="36"/>
      <c r="H53" s="36" t="s">
        <v>176</v>
      </c>
      <c r="I53" s="36"/>
      <c r="J53" s="36"/>
      <c r="K53" s="36"/>
      <c r="L53" s="36" t="s">
        <v>177</v>
      </c>
    </row>
    <row r="54" customFormat="false" ht="61.5" hidden="false" customHeight="true" outlineLevel="0" collapsed="false">
      <c r="B54" s="11" t="s">
        <v>178</v>
      </c>
      <c r="C54" s="36" t="s">
        <v>179</v>
      </c>
      <c r="D54" s="36"/>
      <c r="E54" s="36"/>
      <c r="F54" s="36"/>
      <c r="G54" s="36"/>
      <c r="H54" s="36" t="s">
        <v>180</v>
      </c>
      <c r="I54" s="36"/>
      <c r="J54" s="36"/>
      <c r="K54" s="36"/>
      <c r="L54" s="36" t="s">
        <v>181</v>
      </c>
    </row>
    <row r="55" customFormat="false" ht="61.5" hidden="false" customHeight="true" outlineLevel="0" collapsed="false">
      <c r="B55" s="11" t="s">
        <v>182</v>
      </c>
      <c r="C55" s="36" t="s">
        <v>183</v>
      </c>
      <c r="D55" s="36"/>
      <c r="E55" s="36"/>
      <c r="F55" s="36"/>
      <c r="G55" s="36"/>
      <c r="H55" s="36" t="s">
        <v>180</v>
      </c>
      <c r="I55" s="36"/>
      <c r="J55" s="36"/>
      <c r="K55" s="36"/>
      <c r="L55" s="36" t="s">
        <v>181</v>
      </c>
    </row>
    <row r="56" customFormat="false" ht="18" hidden="false" customHeight="true" outlineLevel="0" collapsed="false">
      <c r="B56" s="27" t="s">
        <v>184</v>
      </c>
      <c r="C56" s="27"/>
      <c r="D56" s="27"/>
      <c r="E56" s="27"/>
      <c r="F56" s="27"/>
      <c r="G56" s="27"/>
      <c r="H56" s="27"/>
      <c r="I56" s="27"/>
      <c r="J56" s="27"/>
      <c r="K56" s="27"/>
      <c r="L56" s="27"/>
    </row>
  </sheetData>
  <mergeCells count="53">
    <mergeCell ref="C4:E4"/>
    <mergeCell ref="B6:L6"/>
    <mergeCell ref="B12:L12"/>
    <mergeCell ref="B14:F14"/>
    <mergeCell ref="B30:L30"/>
    <mergeCell ref="B31:E31"/>
    <mergeCell ref="G31:L31"/>
    <mergeCell ref="B32:E32"/>
    <mergeCell ref="G32:L32"/>
    <mergeCell ref="B33:E33"/>
    <mergeCell ref="G33:L33"/>
    <mergeCell ref="B34:E34"/>
    <mergeCell ref="G34:L34"/>
    <mergeCell ref="B35:E35"/>
    <mergeCell ref="G35:L35"/>
    <mergeCell ref="B36:E36"/>
    <mergeCell ref="G36:L36"/>
    <mergeCell ref="B37:E37"/>
    <mergeCell ref="G37:L37"/>
    <mergeCell ref="B38:E38"/>
    <mergeCell ref="G38:L38"/>
    <mergeCell ref="B39:E39"/>
    <mergeCell ref="G39:L39"/>
    <mergeCell ref="B40:E40"/>
    <mergeCell ref="G40:L40"/>
    <mergeCell ref="B41:E41"/>
    <mergeCell ref="G41:L41"/>
    <mergeCell ref="B42:E42"/>
    <mergeCell ref="G42:L42"/>
    <mergeCell ref="B44:L44"/>
    <mergeCell ref="F45:H45"/>
    <mergeCell ref="I45:J45"/>
    <mergeCell ref="K45:L45"/>
    <mergeCell ref="F46:H46"/>
    <mergeCell ref="I46:J46"/>
    <mergeCell ref="K46:L46"/>
    <mergeCell ref="F47:H47"/>
    <mergeCell ref="I47:J47"/>
    <mergeCell ref="K47:L47"/>
    <mergeCell ref="F48:H48"/>
    <mergeCell ref="I48:J48"/>
    <mergeCell ref="K48:L48"/>
    <mergeCell ref="B49:L49"/>
    <mergeCell ref="B51:L51"/>
    <mergeCell ref="C52:G52"/>
    <mergeCell ref="H52:K52"/>
    <mergeCell ref="C53:G53"/>
    <mergeCell ref="H53:K53"/>
    <mergeCell ref="C54:G54"/>
    <mergeCell ref="H54:K54"/>
    <mergeCell ref="C55:G55"/>
    <mergeCell ref="H55:K55"/>
    <mergeCell ref="B56:L56"/>
  </mergeCells>
  <conditionalFormatting sqref="D8:D11">
    <cfRule type="expression" priority="2" aboveAverage="0" equalAverage="0" bottom="0" percent="0" rank="0" text="" dxfId="0">
      <formula>$D8&gt;0</formula>
    </cfRule>
  </conditionalFormatting>
  <conditionalFormatting sqref="J8:J11">
    <cfRule type="expression" priority="3" aboveAverage="0" equalAverage="0" bottom="0" percent="0" rank="0" text="" dxfId="1">
      <formula>$J8&gt;0</formula>
    </cfRule>
  </conditionalFormatting>
  <conditionalFormatting sqref="F32:F42">
    <cfRule type="expression" priority="4" aboveAverage="0" equalAverage="0" bottom="0" percent="0" rank="0" text="" dxfId="0">
      <formula>$F32&gt;0</formula>
    </cfRule>
  </conditionalFormatting>
  <conditionalFormatting sqref="I46:J48">
    <cfRule type="expression" priority="5" aboveAverage="0" equalAverage="0" bottom="0" percent="0" rank="0" text="" dxfId="2">
      <formula>$I46="Déposé"</formula>
    </cfRule>
    <cfRule type="expression" priority="6" aboveAverage="0" equalAverage="0" bottom="0" percent="0" rank="0" text="" dxfId="0">
      <formula>$I46="En retard"</formula>
    </cfRule>
    <cfRule type="expression" priority="7" aboveAverage="0" equalAverage="0" bottom="0" percent="0" rank="0" text="" dxfId="1">
      <formula>$I46="À déposer"</formula>
    </cfRule>
    <cfRule type="expression" priority="8" aboveAverage="0" equalAverage="0" bottom="0" percent="0" rank="0" text="" dxfId="1">
      <formula>$I46="Date limite à renseigner"</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29" man="true" max="16383" min="0"/>
  </rowBreak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H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7" min="1" style="0" width="30"/>
  </cols>
  <sheetData>
    <row r="1" customFormat="false" ht="21.75" hidden="false" customHeight="true" outlineLevel="0" collapsed="false">
      <c r="A1" s="1" t="s">
        <v>285</v>
      </c>
      <c r="B1" s="2"/>
      <c r="C1" s="2"/>
      <c r="D1" s="2"/>
      <c r="E1" s="2"/>
      <c r="F1" s="2"/>
      <c r="G1" s="2"/>
      <c r="H1" s="2"/>
    </row>
    <row r="2" customFormat="false" ht="15" hidden="false" customHeight="false" outlineLevel="0" collapsed="false">
      <c r="A2" s="38" t="s">
        <v>286</v>
      </c>
    </row>
    <row r="3" customFormat="false" ht="15" hidden="false" customHeight="false" outlineLevel="0" collapsed="false">
      <c r="A3" s="18" t="s">
        <v>45</v>
      </c>
      <c r="B3" s="18" t="s">
        <v>47</v>
      </c>
      <c r="C3" s="18" t="s">
        <v>287</v>
      </c>
      <c r="D3" s="18" t="s">
        <v>50</v>
      </c>
      <c r="E3" s="18" t="s">
        <v>288</v>
      </c>
      <c r="F3" s="18" t="s">
        <v>111</v>
      </c>
      <c r="G3" s="18" t="s">
        <v>113</v>
      </c>
    </row>
    <row r="4" customFormat="false" ht="23.85" hidden="false" customHeight="false" outlineLevel="0" collapsed="false">
      <c r="A4" s="21" t="s">
        <v>56</v>
      </c>
      <c r="B4" s="21" t="s">
        <v>61</v>
      </c>
      <c r="C4" s="21" t="s">
        <v>289</v>
      </c>
      <c r="D4" s="21" t="n">
        <v>7</v>
      </c>
      <c r="E4" s="21" t="s">
        <v>226</v>
      </c>
      <c r="F4" s="21" t="s">
        <v>221</v>
      </c>
      <c r="G4" s="21" t="s">
        <v>290</v>
      </c>
    </row>
    <row r="5" customFormat="false" ht="23.85" hidden="false" customHeight="false" outlineLevel="0" collapsed="false">
      <c r="A5" s="21" t="s">
        <v>68</v>
      </c>
      <c r="B5" s="21" t="s">
        <v>58</v>
      </c>
      <c r="C5" s="21" t="s">
        <v>291</v>
      </c>
      <c r="D5" s="21" t="n">
        <v>14</v>
      </c>
      <c r="E5" s="21" t="s">
        <v>236</v>
      </c>
      <c r="F5" s="21" t="s">
        <v>240</v>
      </c>
      <c r="G5" s="21" t="s">
        <v>232</v>
      </c>
    </row>
    <row r="6" customFormat="false" ht="23.85" hidden="false" customHeight="false" outlineLevel="0" collapsed="false">
      <c r="A6" s="21" t="s">
        <v>78</v>
      </c>
      <c r="B6" s="21" t="s">
        <v>73</v>
      </c>
      <c r="C6" s="21" t="s">
        <v>189</v>
      </c>
      <c r="D6" s="21" t="n">
        <v>30</v>
      </c>
      <c r="E6" s="21" t="s">
        <v>219</v>
      </c>
      <c r="F6" s="21" t="s">
        <v>292</v>
      </c>
      <c r="G6" s="21" t="s">
        <v>222</v>
      </c>
    </row>
    <row r="7" customFormat="false" ht="15" hidden="false" customHeight="false" outlineLevel="0" collapsed="false">
      <c r="B7" s="21" t="s">
        <v>84</v>
      </c>
      <c r="C7" s="21" t="s">
        <v>192</v>
      </c>
      <c r="D7" s="21" t="n">
        <v>91</v>
      </c>
      <c r="F7" s="21" t="s">
        <v>269</v>
      </c>
      <c r="G7" s="21" t="s">
        <v>250</v>
      </c>
    </row>
    <row r="8" customFormat="false" ht="15" hidden="false" customHeight="false" outlineLevel="0" collapsed="false">
      <c r="B8" s="21" t="s">
        <v>66</v>
      </c>
      <c r="C8" s="21" t="s">
        <v>206</v>
      </c>
      <c r="D8" s="21" t="n">
        <v>182</v>
      </c>
      <c r="F8" s="21" t="s">
        <v>293</v>
      </c>
      <c r="G8" s="21" t="s">
        <v>241</v>
      </c>
    </row>
    <row r="9" customFormat="false" ht="15" hidden="false" customHeight="false" outlineLevel="0" collapsed="false">
      <c r="B9" s="21" t="s">
        <v>70</v>
      </c>
      <c r="C9" s="21" t="s">
        <v>209</v>
      </c>
      <c r="D9" s="21" t="n">
        <v>365</v>
      </c>
      <c r="F9" s="21" t="s">
        <v>294</v>
      </c>
      <c r="G9" s="21" t="s">
        <v>294</v>
      </c>
    </row>
    <row r="10" customFormat="false" ht="15" hidden="false" customHeight="false" outlineLevel="0" collapsed="false">
      <c r="B10" s="21" t="s">
        <v>79</v>
      </c>
      <c r="C10" s="21" t="s">
        <v>196</v>
      </c>
      <c r="D10" s="21"/>
    </row>
    <row r="11" customFormat="false" ht="23.85" hidden="false" customHeight="false" outlineLevel="0" collapsed="false">
      <c r="B11" s="21" t="s">
        <v>81</v>
      </c>
    </row>
    <row r="12" customFormat="false" ht="23.85" hidden="false" customHeight="false" outlineLevel="0" collapsed="false">
      <c r="B12" s="21" t="s">
        <v>76</v>
      </c>
    </row>
    <row r="13" customFormat="false" ht="15" hidden="false" customHeight="false" outlineLevel="0" collapsed="false">
      <c r="B13" s="21" t="s">
        <v>294</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2026-10-22T11:42:59Z</dcterms:created>
  <dc:creator>openpyxl</dc:creator>
  <dc:description/>
  <dc:language>en-US</dc:language>
  <cp:lastModifiedBy/>
  <dcterms:modified xsi:type="dcterms:W3CDTF">2026-10-22T13:43:02Z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