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4.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Profil" sheetId="2" state="visible" r:id="rId4"/>
    <sheet name="Diagnostic" sheetId="3" state="visible" r:id="rId5"/>
    <sheet name="Synthèse" sheetId="4" state="visible" r:id="rId6"/>
    <sheet name="Exemple profil" sheetId="5" state="visible" r:id="rId7"/>
    <sheet name="Exemple diagnostic" sheetId="6" state="visible" r:id="rId8"/>
    <sheet name="Exemple synthèse" sheetId="7" state="visible" r:id="rId9"/>
    <sheet name="Listes" sheetId="8" state="visible" r:id="rId10"/>
  </sheets>
  <definedNames>
    <definedName function="false" hidden="false" localSheetId="2" name="_xlnm.Print_Titles" vbProcedure="false">Diagnostic!$A:$C,Diagnostic!$5:$6</definedName>
    <definedName function="false" hidden="false" localSheetId="5" name="_xlnm.Print_Titles" vbProcedure="false">'Exemple diagnostic'!$A:$C,'Exemple diagnostic'!$5:$6</definedName>
    <definedName function="false" hidden="false" localSheetId="2" name="_xlnm.Print_Titles" vbProcedure="false">Diagnostic!$5:$6,Diagnostic!$A:$C</definedName>
    <definedName function="false" hidden="false" localSheetId="5" name="_xlnm.Print_Titles" vbProcedure="false">'Exemple diagnostic'!$5:$6,'Exemple diagnostic'!$A:$C</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<sst xmlns="http://schemas.openxmlformats.org/spreadsheetml/2006/main" count="770" uniqueCount="291">
  <si>
    <t xml:space="preserve">K-li-T · Modèle Qualiopi V10 · Auto-diagnostic des 33 indicateurs</t>
  </si>
  <si>
    <t xml:space="preserve">Auto-diagnostic Qualiopi V10 : les 33 indicateurs</t>
  </si>
  <si>
    <t xml:space="preserve">Ce classeur vous permet de faire le point, indicateur par indicateur, avant l’audit : où vous êtes conforme, où il reste un écart, où une non-conformité majeure est à craindre. Il tient compte de votre profil (catégories d’actions certifiées), de la pondération mineure ou majeure du référentiel et des nouveautés de la V10. C’est un outil d’auto-évaluation : il ne remplace ni le regard d’un tiers (audit blanc) ni l’audit de l’organisme certificateur.</t>
  </si>
  <si>
    <t xml:space="preserve">Mode d’emploi</t>
  </si>
  <si>
    <t xml:space="preserve">1.  Profil. Dans l’onglet « Profil », indiquez votre organisme, les catégories d’actions concernées par la certification (actions de formation, bilans de compétences, VAE, apprentissage), vos conditions (formations certifiantes, alternance, période en entreprise, sous-traitance) et vos particularités (nouvel entrant, formations de plus de 2 jours, modules à distance, financeurs). Le diagnostic en déduit les indicateurs applicables.</t>
  </si>
  <si>
    <t xml:space="preserve">2.  Évaluer. Dans « Diagnostic », lisez la question d’auto-contrôle de chaque indicateur applicable et choisissez : Conforme (l’attendu est respecté et vous en avez la preuve), Partiel (respecté en partie, ou sans preuve complète), Non conforme (non respecté), Sans objet (l’indicateur ne vous concerne pas, à justifier). Soyez exigeant : un auditeur vérifie la mise en œuvre, pas l’intention.</t>
  </si>
  <si>
    <t xml:space="preserve">3.  Documenter. Pour chaque indicateur partiel ou non conforme, notez les preuves disponibles, l’écart constaté, l’action, le responsable et l’échéance. Les cellules d’écart et d’action vides se colorent pour vous le rappeler.</t>
  </si>
  <si>
    <t xml:space="preserve">4.  Lire. L’onglet « Synthèse » compte les indicateurs, calcule le taux de conformité par critère, repère les points à risque de non-conformité majeure en tenant compte de la pondération, affiche un niveau d’alerte et deux graphiques, puis liste les indicateurs à traiter en priorité.</t>
  </si>
  <si>
    <t xml:space="preserve">5.  Agir. Traitez d’abord les points à risque majeur, puis les mineurs, avec les preuves à l’appui. Refaites ensuite le diagnostic : il sert de photographie avant et après. Un regard extérieur (audit blanc) reste le meilleur test.</t>
  </si>
  <si>
    <t xml:space="preserve">6.  Mettre à jour. À la parution du guide de lecture final, revérifiez les libellés, l’applicabilité et la pondération (colonnes crème de l’onglet Diagnostic, modifiables) et les listes de l’onglet « Listes ».</t>
  </si>
  <si>
    <t xml:space="preserve">Comment lire la pondération</t>
  </si>
  <si>
    <t xml:space="preserve">Seize indicateurs sont pondérables (1, 2, 3, 8, 9, 12, 13, 17, 18, 19, 23, 24, 25, 28, 30 et 33) : un respect partiel y donne une non-conformité mineure, un attendu pas du tout respecté une non-conformité majeure. Pour les dix-sept autres, tout non-respect, même partiel, est une non-conformité majeure. C’est pourquoi un « Partiel » sur un indicateur non pondérable est compté comme point à risque de non-conformité majeure, alors que sur un indicateur pondérable il est compté comme point mineur.</t>
  </si>
  <si>
    <t xml:space="preserve">Applicabilité par catégorie (relevé indicatif)</t>
  </si>
  <si>
    <t xml:space="preserve">Le référentiel compte 33 indicateurs ; l’indicateur 33 ne concerne que l’apprentissage, donc 32 pour un organisme de formation, un bilan de compétences ou une VAE ; seuls certains indicateurs s’appliquent selon la catégorie d’actions. D’après le relevé indicatif des fiches pratiques V10, à confirmer par le guide final : 28 indicateurs pour les actions de formation, 23 pour les bilans de compétences, 25 pour la VAE, 33 pour l’apprentissage. Les indicateurs 3, 7, 13, 16, 27 et 28 ne s’appliquent en outre que si la condition de leur libellé est remplie (certification, alternance, période en entreprise, sous-traitance) : l’onglet « Profil » le gère.</t>
  </si>
  <si>
    <t xml:space="preserve">Nouveaux entrants</t>
  </si>
  <si>
    <t xml:space="preserve">Pour un nouvel entrant (première année d’activité comme organisme de formation, ou début d’activité sur une nouvelle catégorie d’actions), les indicateurs 2, 3, 11, 13, 14, 19, 22, 24, 25, 26 et 32 sont audités en deux temps : formalisation du processus à l’audit initial, mise en œuvre effective à l’audit de surveillance. La colonne « Nouvel entrant » les repère.</t>
  </si>
  <si>
    <t xml:space="preserve">Repères de terrain K-li-T et limites</t>
  </si>
  <si>
    <t xml:space="preserve">Le niveau d’alerte (vert, jaune, orange, rouge) et ses seuils sont des repères de terrain de K-li-T, modifiables : ce ne sont ni des règles du référentiel ni une décision de l’organisme certificateur. Les libellés courts reformulent les indicateurs : seul le texte du décret fait foi. Aucun seuil n’est chiffré pour les indicateurs 19 et 20 : les arrêtés qui les fixent ne sont pas publiés à ce jour. Le document de travail mentionne, pour l’indicateur 23, une vérification du dépôt formel des comptes : à confirmer à la parution du guide final.</t>
  </si>
  <si>
    <t xml:space="preserve">Code couleur</t>
  </si>
  <si>
    <t xml:space="preserve">Cellule blanche : à remplir.</t>
  </si>
  <si>
    <t xml:space="preserve">Cellule verte : calculée automatiquement, ne pas modifier.</t>
  </si>
  <si>
    <t xml:space="preserve">Cellule crème : libellé ou rappel du référentiel (modifiable si vous adaptez le modèle).</t>
  </si>
  <si>
    <t xml:space="preserve">Contenu du fichier</t>
  </si>
  <si>
    <t xml:space="preserve">•  Profil : catégories d’actions, conditions et particularités, avec le nombre d’indicateurs applicables calculé.</t>
  </si>
  <si>
    <t xml:space="preserve">•  Diagnostic : 33 lignes avec critère, libellé court, statut V10 (inchangé, modifié, nouveau, rédactionnel), applicabilité par catégorie, pondération, nouvel entrant, question d’auto-contrôle, auto-évaluation, preuves, écart, action, responsable, échéance. Deux colonnes se calculent : « Applicable à mon profil ? » et « Écart probable ».</t>
  </si>
  <si>
    <t xml:space="preserve">•  Synthèse : compteurs, points à risque de non-conformité majeure, niveau d’alerte, résultats par critère, graphiques, indicateurs prioritaires, points d’attention V10.</t>
  </si>
  <si>
    <t xml:space="preserve">•  Exemples (onglets verts) : Les Ateliers du Clos Fleuri, organisme fictif de 6 personnes en actions de formation : 26 indicateurs applicables, 17 conformes, 8 partiels, 1 non conforme, 2 points à risque de non-conformité majeure.</t>
  </si>
  <si>
    <t xml:space="preserve">•  Listes : les listes déroulantes, modifiables.</t>
  </si>
  <si>
    <t xml:space="preserve">Pour aller plus loin</t>
  </si>
  <si>
    <t xml:space="preserve">L’article qui accompagne ce modèle : k-li-t.com/auto-diagnostic-qualiopi-v10-excel/</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</si>
  <si>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</si>
  <si>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K-li-T · Modèle Qualiopi V10 · Auto-diagnostic · Profil</t>
  </si>
  <si>
    <t xml:space="preserve">Profil de l’organisme</t>
  </si>
  <si>
    <t xml:space="preserve">Ces réponses décident des indicateurs qui s’appliquent à vous. Répondez Oui ou Non : une cellule laissée vide compte comme Oui pour les conditions.</t>
  </si>
  <si>
    <t xml:space="preserve">1. L’organisme</t>
  </si>
  <si>
    <t xml:space="preserve">Nom de l’organisme</t>
  </si>
  <si>
    <t xml:space="preserve">Effectif (nombre de personnes, dirigeant compris)</t>
  </si>
  <si>
    <t xml:space="preserve">Personne qui conduit l’auto-diagnostic</t>
  </si>
  <si>
    <t xml:space="preserve">Date de l’auto-diagnostic</t>
  </si>
  <si>
    <t xml:space="preserve">Format jj/mm/aaaa.</t>
  </si>
  <si>
    <t xml:space="preserve">2. Catégories d’actions concernées par votre certification</t>
  </si>
  <si>
    <t xml:space="preserve">Actions de formation (AF)</t>
  </si>
  <si>
    <t xml:space="preserve">Oui si vous demandez la certification pour des actions de formation.</t>
  </si>
  <si>
    <t xml:space="preserve">Bilans de compétences (BC)</t>
  </si>
  <si>
    <t xml:space="preserve">Validation des acquis de l’expérience (VAE)</t>
  </si>
  <si>
    <t xml:space="preserve">Actions de formation par apprentissage (CFA)</t>
  </si>
  <si>
    <t xml:space="preserve">Seule cette catégorie ouvre les indicateurs 14, 15, 20, 29 et 33.</t>
  </si>
  <si>
    <t xml:space="preserve">Catégorie principale</t>
  </si>
  <si>
    <t xml:space="preserve">3. Conditions qui rendent certains indicateurs applicables ou non</t>
  </si>
  <si>
    <t xml:space="preserve">Formations certifiantes</t>
  </si>
  <si>
    <t xml:space="preserve">Indicateurs 3, 7 et 16. Non si vous ne préparez à aucune certification.</t>
  </si>
  <si>
    <t xml:space="preserve">Alternance</t>
  </si>
  <si>
    <t xml:space="preserve">Indicateur 13. Contrats d’apprentissage ou de professionnalisation.</t>
  </si>
  <si>
    <t xml:space="preserve">Période en entreprise (stage, alternance, AFEST)</t>
  </si>
  <si>
    <t xml:space="preserve">Indicateur 28. Concerne tout prestataire dont la formation prévoit une période en entreprise.</t>
  </si>
  <si>
    <t xml:space="preserve">Sous-traitance ou portage salarial</t>
  </si>
  <si>
    <t xml:space="preserve">Indicateur 27. Non si vous ne sous-traitez pas et ne recourez pas au portage salarial.</t>
  </si>
  <si>
    <t xml:space="preserve">4. Informations qui ajustent vos points d’attention</t>
  </si>
  <si>
    <t xml:space="preserve">Nouvel entrant</t>
  </si>
  <si>
    <t xml:space="preserve">Première année d’activité comme organisme de formation, ou début d’activité sur une nouvelle catégorie d’actions.</t>
  </si>
  <si>
    <t xml:space="preserve">Formations de plus de 2 jours</t>
  </si>
  <si>
    <t xml:space="preserve">Indicateur 12 : la prévention des violences et discriminations s’applique à ces formations.</t>
  </si>
  <si>
    <t xml:space="preserve">Modules pédagogiques réalisés à distance</t>
  </si>
  <si>
    <t xml:space="preserve">Indicateur 19 : vérification de l’effectivité du suivi.</t>
  </si>
  <si>
    <t xml:space="preserve">Financeurs publics ou mutualisés à solliciter</t>
  </si>
  <si>
    <t xml:space="preserve">Indicateur 30 : sollicitation au moins une fois par an, ou participation à leurs webinaires ou réunions.</t>
  </si>
  <si>
    <t xml:space="preserve">Résultat : indicateurs applicables à votre profil (calculé)</t>
  </si>
  <si>
    <t xml:space="preserve">Indicateurs applicables à votre profil</t>
  </si>
  <si>
    <t xml:space="preserve">Sur 33 indicateurs. D’après le relevé indicatif : AF 28, BC 23, VAE 25, CFA 33 avant conditions (à confirmer par le guide final).</t>
  </si>
  <si>
    <t xml:space="preserve">dont indicateurs pondérables (mineure ou majeure)</t>
  </si>
  <si>
    <t xml:space="preserve">Un respect partiel y donne une non-conformité mineure.</t>
  </si>
  <si>
    <t xml:space="preserve">dont indicateurs à non-conformité majeure seulement</t>
  </si>
  <si>
    <t xml:space="preserve">Tout non-respect, même partiel, y donne une non-conformité majeure.</t>
  </si>
  <si>
    <t xml:space="preserve">K-li-T · Modèle Qualiopi V10 · Auto-diagnostic · Diagnostic</t>
  </si>
  <si>
    <t xml:space="preserve">Diagnostic des 33 indicateurs</t>
  </si>
  <si>
    <t xml:space="preserve">Une ligne par indicateur. Répondez à la question d’auto-contrôle, choisissez votre évaluation, puis documentez les preuves, l’écart et l’action. Les colonnes vertes se calculent.</t>
  </si>
  <si>
    <t xml:space="preserve">1. L’indicateur et ses repères</t>
  </si>
  <si>
    <t xml:space="preserve">2. À vous de répondre</t>
  </si>
  <si>
    <t xml:space="preserve">3. Votre évaluation</t>
  </si>
  <si>
    <t xml:space="preserve">4. Preuves, écart et plan d’actions</t>
  </si>
  <si>
    <t xml:space="preserve">Critère</t>
  </si>
  <si>
    <t xml:space="preserve">N°</t>
  </si>
  <si>
    <t xml:space="preserve">Indicateur (libellé court)</t>
  </si>
  <si>
    <t xml:space="preserve">Statut V10</t>
  </si>
  <si>
    <t xml:space="preserve">Applicable à (relevé indicatif)</t>
  </si>
  <si>
    <t xml:space="preserve">Condition d’application</t>
  </si>
  <si>
    <t xml:space="preserve">Pondération</t>
  </si>
  <si>
    <t xml:space="preserve">Question d’auto-contrôle</t>
  </si>
  <si>
    <t xml:space="preserve">Applicable à mon profil ?</t>
  </si>
  <si>
    <t xml:space="preserve">Auto-évaluation</t>
  </si>
  <si>
    <t xml:space="preserve">Écart probable (selon la pondération)</t>
  </si>
  <si>
    <t xml:space="preserve">Preuves disponibles</t>
  </si>
  <si>
    <t xml:space="preserve">Écart constaté</t>
  </si>
  <si>
    <t xml:space="preserve">Action à mener</t>
  </si>
  <si>
    <t xml:space="preserve">Responsable</t>
  </si>
  <si>
    <t xml:space="preserve">Échéance</t>
  </si>
  <si>
    <t xml:space="preserve">Rang risque majeur (aide au calcul)</t>
  </si>
  <si>
    <t xml:space="preserve">Information du public accessible, détaillée et vérifiable, sans mention trompeuse</t>
  </si>
  <si>
    <t xml:space="preserve">Modifié</t>
  </si>
  <si>
    <t xml:space="preserve">CFA, AF, BC, VAE</t>
  </si>
  <si>
    <t xml:space="preserve">Mineure ou majeure</t>
  </si>
  <si>
    <t xml:space="preserve">Pour chaque offre, le public trouve-t-il, avant tout engagement, les prérequis, objectifs, type de reconnaissance délivrée, durée, modalités et délais d’accès, tarifs, contacts, méthodes, modalités d’évaluation et accessibilité ? Rien dans vos supports (accès, contenu, modalités pédagogiques, financement, poursuite d’études) ne peut-il induire en erreur ?</t>
  </si>
  <si>
    <t xml:space="preserve">Indicateurs de résultats diffusés, avec leurs modalités de calcul</t>
  </si>
  <si>
    <t xml:space="preserve">Oui</t>
  </si>
  <si>
    <t xml:space="preserve">Publiez-vous, pour chaque formation, des indicateurs de résultats adaptés (satisfaction, réussite, abandon, insertion…) et expliquez-vous comment ils sont calculés (base, période, nombre de réponses) ?</t>
  </si>
  <si>
    <t xml:space="preserve">Certifications : taux d’obtention, blocs, équivalences, passerelles, poursuites d’études, débouchés</t>
  </si>
  <si>
    <t xml:space="preserve">CFA, AF, VAE</t>
  </si>
  <si>
    <t xml:space="preserve">Pour vos formations certifiantes, informez-vous sur le taux d’obtention (mis en relation avec le taux de présentation à l’examen), les blocs de compétences, les équivalences, passerelles et suites de parcours, dont les poursuites d’études et les débouchés ?</t>
  </si>
  <si>
    <t xml:space="preserve">Analyse du besoin du bénéficiaire, avec l’entreprise ou le financeur</t>
  </si>
  <si>
    <t xml:space="preserve">Inchangé</t>
  </si>
  <si>
    <t xml:space="preserve">Majeure seulement</t>
  </si>
  <si>
    <t xml:space="preserve">Le besoin de chaque bénéficiaire (avec l’entreprise ou le financeur concerné) est-il analysé avant l’entrée et tracé, y compris les besoins de compensation du handicap ?</t>
  </si>
  <si>
    <t xml:space="preserve">Objectifs opérationnels et évaluables</t>
  </si>
  <si>
    <t xml:space="preserve">Les objectifs de chaque action sont-ils formulés en compétences ou capacités visées, observables et évaluables ?</t>
  </si>
  <si>
    <t xml:space="preserve">Contenus et modalités adaptés aux objectifs et aux publics</t>
  </si>
  <si>
    <t xml:space="preserve">Vos contenus, séquences et modalités (présentiel, distance, mixte) sont-ils formalisés et adaptés aux objectifs et aux publics ?</t>
  </si>
  <si>
    <t xml:space="preserve">Adéquation à la certification visée et capacité à la délivrer (habilitation comprise)</t>
  </si>
  <si>
    <t xml:space="preserve">CFA, AF</t>
  </si>
  <si>
    <t xml:space="preserve">Pouvez-vous montrer que le contenu de chaque formation certifiante respecte le référentiel de la certification, et que vous avez la capacité de la délivrer (habilitation ou convention avec le certificateur) ?</t>
  </si>
  <si>
    <t xml:space="preserve">Positionnement et évaluation des acquis à l’entrée</t>
  </si>
  <si>
    <t xml:space="preserve">Une procédure de positionnement et d’évaluation des acquis à l’entrée existe-t-elle, adaptée aux publics et aux modalités (dont la distance), et est-elle appliquée ?</t>
  </si>
  <si>
    <t xml:space="preserve">Information des bénéficiaires sur le déroulement de la prestation</t>
  </si>
  <si>
    <t xml:space="preserve">Chaque bénéficiaire reçoit-il, avant ou au démarrage, les conditions de déroulement : règlement, horaires, référents, modalités d’accès, d’accompagnement et de suivi (accès à la plateforme si distance) ?</t>
  </si>
  <si>
    <t xml:space="preserve">Mise en œuvre et adaptation de la prestation, de l’accompagnement et du suivi</t>
  </si>
  <si>
    <t xml:space="preserve">Adaptez-vous réellement la prestation, l’accompagnement et le suivi au profil de chaque bénéficiaire, et en gardez-vous la trace ?</t>
  </si>
  <si>
    <t xml:space="preserve">Évaluation de l’atteinte des objectifs par les bénéficiaires</t>
  </si>
  <si>
    <t xml:space="preserve">Évaluez-vous l’atteinte des objectifs en cours et en fin de formation (et à froid), avec des outils définis et conservés ?</t>
  </si>
  <si>
    <t xml:space="preserve">Engagement, prévention des ruptures, prévention et traitement des violences, du harcèlement et des discriminations</t>
  </si>
  <si>
    <t xml:space="preserve">Avez-vous des mesures contre les abandons et une procédure de prévention et de traitement des violences, du harcèlement et des discriminations, connue des apprenants et du personnel, avec un référent et la traçabilité des signalements (formations de plus de 2 jours) ?</t>
  </si>
  <si>
    <t xml:space="preserve">Alternance : missions anticipées avec l’entreprise, coordination et progressivité des apprentissages</t>
  </si>
  <si>
    <t xml:space="preserve">Pour l’alternance, anticipez-vous avec l’entreprise et l’apprenant les missions confiées, et coordonnez-vous de façon progressive les apprentissages entre le centre et l’entreprise ?</t>
  </si>
  <si>
    <t xml:space="preserve">CFA : accompagnement socio-professionnel, éducatif et citoyenneté ; traitement sans délai des ruptures liées aux difficultés, violences ou discriminations</t>
  </si>
  <si>
    <t xml:space="preserve">CFA</t>
  </si>
  <si>
    <t xml:space="preserve">Proposez-vous un accompagnement socio-professionnel, éducatif et citoyen, et une procédure de traitement sans délai des ruptures liées à des difficultés, violences ou discriminations subies en formation ou en entreprise ?</t>
  </si>
  <si>
    <t xml:space="preserve">CFA : information des apprentis (droits et devoirs, santé et sécurité, prévention et signalement, médiateur)</t>
  </si>
  <si>
    <t xml:space="preserve">Chaque apprenti est-il informé de ses droits et devoirs, de la santé et sécurité au travail (de façon renforcée s’il est mineur), des dispositifs de prévention et de signalement, du médiateur de l’apprentissage et du signalement à l’inspection du travail ?</t>
  </si>
  <si>
    <t xml:space="preserve">Conditions de présentation à la certification conformes aux exigences du certificateur</t>
  </si>
  <si>
    <t xml:space="preserve">Les conditions de présentation à la certification respectent-elles les exigences formelles du certificateur (inscription, calendrier, aménagements d’examen) ?</t>
  </si>
  <si>
    <t xml:space="preserve">Moyens humains et techniques adaptés, environnement approprié</t>
  </si>
  <si>
    <t xml:space="preserve">Disposez-vous des moyens humains et techniques adaptés (locaux, équipements, plateforme) et d’un environnement approprié au nombre d’apprenants ?</t>
  </si>
  <si>
    <t xml:space="preserve">Mobilisation et coordination des intervenants internes et externes</t>
  </si>
  <si>
    <t xml:space="preserve">Mobilisez-vous et coordonnez-vous vos intervenants internes et externes (rôles, planning, échanges, réunions) ?</t>
  </si>
  <si>
    <t xml:space="preserve">Ressources pédagogiques et appropriation, effectivité du suivi à distance, référent pédagogique</t>
  </si>
  <si>
    <t xml:space="preserve">Les ressources pédagogiques sont-elles disponibles et appropriables ? Pour les modules à distance, prouvez-vous le suivi effectif (relances, alertes de décrochage, statistiques) ? Avez-vous anticipé le référent pédagogique par formation (seuil à venir par arrêté) ?</t>
  </si>
  <si>
    <t xml:space="preserve">CFA : mobilité, référent handicap, conseil de perfectionnement, gouvernance, supervision renforcée</t>
  </si>
  <si>
    <t xml:space="preserve">Avez-vous un conseil de perfectionnement actif, un personnel dédié à la mobilité, un référent handicap, la participation des apprentis, formateurs et entreprises à la gouvernance, et une supervision renforcée si nécessaire (seuil à venir par arrêté) ?</t>
  </si>
  <si>
    <t xml:space="preserve">Compétences des intervenants déterminées, mobilisées et évaluées</t>
  </si>
  <si>
    <t xml:space="preserve">Avez-vous défini les compétences requises pour chaque prestation, et vérifiez-vous que chaque intervenant les maîtrise ?</t>
  </si>
  <si>
    <t xml:space="preserve">Entretien et développement des compétences des salariés</t>
  </si>
  <si>
    <t xml:space="preserve">Entretenez-vous et développez-vous les compétences de vos salariés (plan de formation, entretiens, échanges de pratiques) ? Un indépendant montre sa propre démarche de formation continue.</t>
  </si>
  <si>
    <t xml:space="preserve">Veille légale et réglementaire, exploitée</t>
  </si>
  <si>
    <t xml:space="preserve">Votre veille légale et réglementaire est-elle organisée, diffusée à l’équipe et exploitée (supports mis à jour) ? Le dépôt des comptes est-il vérifié (mention du document de travail, à confirmer) ?</t>
  </si>
  <si>
    <t xml:space="preserve">Veille sur les compétences, métiers et emplois, exploitée</t>
  </si>
  <si>
    <t xml:space="preserve">Menez-vous une veille sur les compétences, métiers et emplois de vos secteurs, diffusée et utilisée pour faire évoluer vos prestations ?</t>
  </si>
  <si>
    <t xml:space="preserve">Veille sur les innovations pédagogiques et technologiques, exploitée</t>
  </si>
  <si>
    <t xml:space="preserve">Menez-vous une veille sur les innovations pédagogiques et technologiques, avec analyse d’opportunité et effet sur vos prestations ?</t>
  </si>
  <si>
    <t xml:space="preserve">Expertises, outils et réseaux pour les publics en situation de handicap</t>
  </si>
  <si>
    <t xml:space="preserve">Mobilisez-vous des expertises, outils et réseaux pour accueillir, accompagner ou orienter les publics en situation de handicap (partenaires du territoire, référent handicap formé, offre de la RHF) ?</t>
  </si>
  <si>
    <t xml:space="preserve">Sous-traitance et portage salarial : conformité au référentiel, tracée dans les contrats</t>
  </si>
  <si>
    <t xml:space="preserve">Pour chaque sous-traitant ou salarié porté, avez-vous vérifié la conformité au référentiel et inscrit cette exigence et sa traçabilité dans le contrat, avec les missions confiées ?</t>
  </si>
  <si>
    <t xml:space="preserve">Formation en situation de travail : réseau de partenaires socio-économiques</t>
  </si>
  <si>
    <t xml:space="preserve">Lorsque la formation comprend une période en entreprise, mobilisez-vous votre réseau de partenaires socio-économiques pour construire la formation et faciliter l’accueil ?</t>
  </si>
  <si>
    <t xml:space="preserve">CFA : actions d’insertion professionnelle ou de poursuite d’études</t>
  </si>
  <si>
    <t xml:space="preserve">Menez-vous des actions concrètes d’insertion professionnelle ou de poursuite d’études, avec des liens locaux (France Travail, service public de l’orientation, branches professionnelles) ?</t>
  </si>
  <si>
    <t xml:space="preserve">Appréciations des bénéficiaires, financeurs (le cas échéant), équipes pédagogiques et entreprises</t>
  </si>
  <si>
    <t xml:space="preserve">Recueillez-vous et analysez-vous les appréciations de chaque partie prenante concernée, dont les financeurs (sollicitation au moins une fois par an, ou participation à leurs webinaires ou réunions) ?</t>
  </si>
  <si>
    <t xml:space="preserve">Traitement des difficultés, des réclamations et des aléas</t>
  </si>
  <si>
    <t xml:space="preserve">Rédactionnel</t>
  </si>
  <si>
    <t xml:space="preserve">Avez-vous des modalités connues et appliquées pour traiter les difficultés, les réclamations (avec accusé de réception et réponse) et les aléas, avec un suivi ?</t>
  </si>
  <si>
    <t xml:space="preserve">Amélioration continue à partir des appréciations et réclamations, et analyse des risques sur la qualité</t>
  </si>
  <si>
    <t xml:space="preserve">Vos appréciations et réclamations débouchent-elles sur des mesures d’amélioration suivies, et avez-vous réalisé une analyse des risques sur la qualité de vos formations ?</t>
  </si>
  <si>
    <t xml:space="preserve">CFA : évaluation des contenus et des enseignements par les apprenants, distincte de la satisfaction générale</t>
  </si>
  <si>
    <t xml:space="preserve">Nouveau</t>
  </si>
  <si>
    <t xml:space="preserve">Les apprenants évaluent-ils les contenus et les enseignements par un dispositif distinct de la satisfaction générale, dont les résultats sont partagés avec les équipes et nourrissent une démarche d’amélioration dont vous mesurez l’efficacité ?</t>
  </si>
  <si>
    <t xml:space="preserve">K-li-T · Modèle Qualiopi V10 · Auto-diagnostic · Synthèse</t>
  </si>
  <si>
    <t xml:space="preserve">Synthèse de l’auto-diagnostic</t>
  </si>
  <si>
    <t xml:space="preserve">Date du diagnostic :</t>
  </si>
  <si>
    <t xml:space="preserve">1. Vue d’ensemble</t>
  </si>
  <si>
    <t xml:space="preserve">Indicateurs du référentiel V10</t>
  </si>
  <si>
    <t xml:space="preserve">Les 33 lignes de l’onglet Diagnostic.</t>
  </si>
  <si>
    <t xml:space="preserve">D’après votre profil : catégories, certification, alternance, période en entreprise, sous-traitance.</t>
  </si>
  <si>
    <t xml:space="preserve">dont déclarés « Sans objet » après examen</t>
  </si>
  <si>
    <t xml:space="preserve">À justifier auprès d’un auditeur.</t>
  </si>
  <si>
    <t xml:space="preserve">Indicateurs retenus pour le diagnostic</t>
  </si>
  <si>
    <t xml:space="preserve">Conformes</t>
  </si>
  <si>
    <t xml:space="preserve">Partiels</t>
  </si>
  <si>
    <t xml:space="preserve">Non conformes</t>
  </si>
  <si>
    <t xml:space="preserve">Restant à évaluer</t>
  </si>
  <si>
    <t xml:space="preserve">Taux de conformité (conformes / retenus)</t>
  </si>
  <si>
    <t xml:space="preserve">Un indicateur partiel ne compte pas comme conforme.</t>
  </si>
  <si>
    <t xml:space="preserve">Avancement de l’auto-diagnostic (évalués / retenus)</t>
  </si>
  <si>
    <t xml:space="preserve">2. Points à risque de non-conformité majeure (tenant compte de la pondération)</t>
  </si>
  <si>
    <t xml:space="preserve">Points à risque de non-conformité majeure</t>
  </si>
  <si>
    <t xml:space="preserve">Somme des deux lignes suivantes.</t>
  </si>
  <si>
    <t xml:space="preserve">dont indicateurs « majeure seulement » partiels ou non conformes</t>
  </si>
  <si>
    <t xml:space="preserve">Pour ces indicateurs, tout non-respect, même partiel, est une non-conformité majeure.</t>
  </si>
  <si>
    <t xml:space="preserve">dont indicateurs pondérables non conformes</t>
  </si>
  <si>
    <t xml:space="preserve">Un attendu pas du tout respecté peut être une non-conformité majeure.</t>
  </si>
  <si>
    <t xml:space="preserve">Points à risque de non-conformité mineure</t>
  </si>
  <si>
    <t xml:space="preserve">Indicateurs pondérables partiellement respectés.</t>
  </si>
  <si>
    <t xml:space="preserve">Seuil « orange » : nombre de points à risque majeur</t>
  </si>
  <si>
    <t xml:space="preserve">Repères de terrain K-li-T, à adapter. Ce ne sont pas des règles du référentiel.</t>
  </si>
  <si>
    <t xml:space="preserve">Seuil « rouge » : nombre de points à risque majeur</t>
  </si>
  <si>
    <t xml:space="preserve">Le niveau d’alerte n’est ni une note ni une décision de l’organisme certificateur.</t>
  </si>
  <si>
    <t xml:space="preserve">Niveau d’alerte (repère de terrain K-li-T)</t>
  </si>
  <si>
    <t xml:space="preserve">Complétude</t>
  </si>
  <si>
    <t xml:space="preserve">3. Résultats par critère</t>
  </si>
  <si>
    <t xml:space="preserve">Intitulé</t>
  </si>
  <si>
    <t xml:space="preserve">Retenus</t>
  </si>
  <si>
    <t xml:space="preserve">À évaluer</t>
  </si>
  <si>
    <t xml:space="preserve">% de conformité</t>
  </si>
  <si>
    <t xml:space="preserve">Risque majeur</t>
  </si>
  <si>
    <t xml:space="preserve">Risque mineur</t>
  </si>
  <si>
    <t xml:space="preserve">Information du public</t>
  </si>
  <si>
    <t xml:space="preserve">Objectifs et conception</t>
  </si>
  <si>
    <t xml:space="preserve">Accueil, suivi, évaluation</t>
  </si>
  <si>
    <t xml:space="preserve">Moyens et encadrement</t>
  </si>
  <si>
    <t xml:space="preserve">Compétences des personnels</t>
  </si>
  <si>
    <t xml:space="preserve">Environnement professionnel</t>
  </si>
  <si>
    <t xml:space="preserve">Appréciations et réclamations</t>
  </si>
  <si>
    <t xml:space="preserve">Total</t>
  </si>
  <si>
    <t xml:space="preserve">4. Graphiques par critère (numéro du critère en abscisse)</t>
  </si>
  <si>
    <t xml:space="preserve">5. Indicateurs à traiter en priorité (points à risque de non-conformité majeure)</t>
  </si>
  <si>
    <t xml:space="preserve">Rang</t>
  </si>
  <si>
    <t xml:space="preserve">Indicateur</t>
  </si>
  <si>
    <t xml:space="preserve">6. Points d’attention V10 liés à votre profil</t>
  </si>
  <si>
    <t xml:space="preserve">Profil de l’organisme (exemple fictif)</t>
  </si>
  <si>
    <t xml:space="preserve">Organisme fictif de 6 personnes, catégorie des actions de formation : 26 indicateurs s’appliquent (formations certifiantes et sous-traitance, ni alternance ni période en entreprise).</t>
  </si>
  <si>
    <t xml:space="preserve">Les Ateliers du Clos Fleuri (organisme fictif)</t>
  </si>
  <si>
    <t xml:space="preserve">Directrice et responsable qualité</t>
  </si>
  <si>
    <t xml:space="preserve">Non</t>
  </si>
  <si>
    <t xml:space="preserve">Organisme de formation (AF)</t>
  </si>
  <si>
    <t xml:space="preserve">Diagnostic des 33 indicateurs (exemple fictif)</t>
  </si>
  <si>
    <t xml:space="preserve">Les Ateliers du Clos Fleuri : 26 indicateurs applicables, 17 conformes, 8 partiels, 1 non conforme. Deux points à risque de non-conformité majeure (27 et 32).</t>
  </si>
  <si>
    <t xml:space="preserve">Partiel</t>
  </si>
  <si>
    <t xml:space="preserve">Site complet, 9 fiches programme, devis type</t>
  </si>
  <si>
    <t xml:space="preserve">Type de reconnaissance délivrée absent sur 2 fiches programme ; financement non précisé sur le devis type</t>
  </si>
  <si>
    <t xml:space="preserve">Compléter les 2 fiches et le devis ; relire tous les supports avec une liste de contrôle</t>
  </si>
  <si>
    <t xml:space="preserve">Directrice</t>
  </si>
  <si>
    <t xml:space="preserve">Taux de satisfaction et nombre de stagiaires publiés sur le site</t>
  </si>
  <si>
    <t xml:space="preserve">Modalités de calcul non expliquées (base, période, nombre de réponses)</t>
  </si>
  <si>
    <t xml:space="preserve">Ajouter une note de calcul sous chaque indicateur publié</t>
  </si>
  <si>
    <t xml:space="preserve">Responsable qualité</t>
  </si>
  <si>
    <t xml:space="preserve">Taux d’obtention 2025 publié pour la formation certifiante</t>
  </si>
  <si>
    <t xml:space="preserve">Taux de présentation à l’examen et poursuites d’études non indiqués</t>
  </si>
  <si>
    <t xml:space="preserve">Compléter la fiche programme certifiante : taux de présentation, poursuites d’études, débouchés</t>
  </si>
  <si>
    <t xml:space="preserve">Responsable pédagogique</t>
  </si>
  <si>
    <t xml:space="preserve">Conforme</t>
  </si>
  <si>
    <t xml:space="preserve">Fiches de besoin et comptes rendus d’entretien des 3 dernières sessions</t>
  </si>
  <si>
    <t xml:space="preserve">Fiches programme avec objectifs en compétences visées</t>
  </si>
  <si>
    <t xml:space="preserve">Programmes détaillés et déroulés par séquence</t>
  </si>
  <si>
    <t xml:space="preserve">Tableau croisé contenu et référentiel, convention avec le certificateur</t>
  </si>
  <si>
    <t xml:space="preserve">Test de positionnement en ligne, grille d’entretien d’entrée</t>
  </si>
  <si>
    <t xml:space="preserve">Livret d’accueil, règlement intérieur, convocation envoyée huit jours avant</t>
  </si>
  <si>
    <t xml:space="preserve">Groupes de niveau, entretiens de suivi tracés</t>
  </si>
  <si>
    <t xml:space="preserve">Évaluations finales, évaluation à froid à trois mois</t>
  </si>
  <si>
    <t xml:space="preserve">Relances des absents tracées, entretien de mi-parcours</t>
  </si>
  <si>
    <t xml:space="preserve">Procédure violences et discriminations en cours de rédaction ; référent non désigné ; rien dans le livret d’accueil</t>
  </si>
  <si>
    <t xml:space="preserve">Désigner le référent, finaliser la procédure, l’afficher et l’ajouter au livret et au règlement intérieur ; créer le registre des signalements</t>
  </si>
  <si>
    <t xml:space="preserve">Convocations, règlement d’examen du certificateur, procès-verbaux</t>
  </si>
  <si>
    <t xml:space="preserve">Bail, registre d’accessibilité, document unique, inventaire du matériel</t>
  </si>
  <si>
    <t xml:space="preserve">Organigramme, liste des 9 intervenants, planning partagé</t>
  </si>
  <si>
    <t xml:space="preserve">Supports en ligne, assistance par e-mail, statistiques de connexion de la plateforme</t>
  </si>
  <si>
    <t xml:space="preserve">Aucune relance ni alerte de décrochage tracée sur les modules à distance ; référent pédagogique non anticipé</t>
  </si>
  <si>
    <t xml:space="preserve">Définir et tracer les relances (seuil d’inactivité fixé par l’organisme) et les alertes de décrochage ; suivre la parution de l’arrêté</t>
  </si>
  <si>
    <t xml:space="preserve">Grille de compétences requises, CV et diplômes, évaluation après chaque intervention</t>
  </si>
  <si>
    <t xml:space="preserve">Plan de formation 2026, entretiens professionnels</t>
  </si>
  <si>
    <t xml:space="preserve">Veille légale mensuelle sur les sites institutionnels</t>
  </si>
  <si>
    <t xml:space="preserve">Veille non diffusée à l’équipe ; dépôt des comptes non vérifié</t>
  </si>
  <si>
    <t xml:space="preserve">Diffuser une synthèse mensuelle à l’équipe ; faire vérifier le dépôt des comptes par l’expert-comptable</t>
  </si>
  <si>
    <t xml:space="preserve">Adhésion à une fédération professionnelle, comptes rendus d’événements</t>
  </si>
  <si>
    <t xml:space="preserve">Veille sur les outils numériques, test d’une classe virtuelle</t>
  </si>
  <si>
    <t xml:space="preserve">Annuaire des partenaires du territoire, inscription à la plateforme RHF</t>
  </si>
  <si>
    <t xml:space="preserve">3 contrats de sous-traitance signés (missions, durée, montant)</t>
  </si>
  <si>
    <t xml:space="preserve">Pas de clause de conformité au référentiel ni de traçabilité des vérifications</t>
  </si>
  <si>
    <t xml:space="preserve">Ajouter un avenant « conformité au référentiel et traçabilité » aux 3 contrats</t>
  </si>
  <si>
    <t xml:space="preserve">Questionnaires à chaud et à froid, avis des entreprises</t>
  </si>
  <si>
    <t xml:space="preserve">Financeurs jamais sollicités ; équipe pédagogique non consultée</t>
  </si>
  <si>
    <t xml:space="preserve">Solliciter les 2 financeurs principaux avant la fin de l’année ; consulter les formateurs ; tracer les échanges</t>
  </si>
  <si>
    <t xml:space="preserve">Registre des réclamations, difficultés et aléas</t>
  </si>
  <si>
    <t xml:space="preserve">Non conforme</t>
  </si>
  <si>
    <t xml:space="preserve">Plan d’améliorations issu des réclamations</t>
  </si>
  <si>
    <t xml:space="preserve">Aucune analyse des risques sur la qualité des formations</t>
  </si>
  <si>
    <t xml:space="preserve">Réaliser l’analyse des risques et la présenter à la prochaine revue</t>
  </si>
  <si>
    <t xml:space="preserve">Synthèse de l’auto-diagnostic (exemple fictif)</t>
  </si>
  <si>
    <t xml:space="preserve">K-li-T · Listes déroulantes (modifiables)</t>
  </si>
  <si>
    <t xml:space="preserve">Ces listes alimentent les menus déroulants des autres onglets. Vous pouvez en modifier le contenu.</t>
  </si>
  <si>
    <t xml:space="preserve">Oui / Non</t>
  </si>
  <si>
    <t xml:space="preserve">Bilan de compétences (BC)</t>
  </si>
  <si>
    <t xml:space="preserve">VAE</t>
  </si>
  <si>
    <t xml:space="preserve">Sans objet</t>
  </si>
</sst>
</file>

<file path=xl/styles.xml><?xml version="1.0" encoding="utf-8"?>
<styleSheet xmlns="http://schemas.openxmlformats.org/spreadsheetml/2006/main">
  <numFmts count="4">
    <numFmt numFmtId="164" formatCode="General"/>
    <numFmt numFmtId="165" formatCode="dd/mm/yyyy"/>
    <numFmt numFmtId="166" formatCode="General"/>
    <numFmt numFmtId="167" formatCode="0%"/>
  </numFmts>
  <fonts count="18">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9"/>
      <color rgb="FFFFFFFF"/>
      <name val="Arial"/>
      <family val="0"/>
      <charset val="1"/>
    </font>
    <font>
      <b val="true"/>
      <sz val="10"/>
      <color rgb="FF1A1816"/>
      <name val="Arial"/>
      <family val="0"/>
      <charset val="1"/>
    </font>
    <font>
      <sz val="9"/>
      <color rgb="FF1A1816"/>
      <name val="Arial"/>
      <family val="0"/>
      <charset val="1"/>
    </font>
    <font>
      <b val="true"/>
      <sz val="9"/>
      <color rgb="FF1A1816"/>
      <name val="Arial"/>
      <family val="0"/>
      <charset val="1"/>
    </font>
    <font>
      <b val="true"/>
      <i val="true"/>
      <sz val="10"/>
      <color rgb="FF5F5850"/>
      <name val="Arial"/>
      <family val="0"/>
      <charset val="1"/>
    </font>
    <font>
      <b val="true"/>
      <sz val="18"/>
      <color rgb="FF000000"/>
      <name val="Calibri"/>
      <family val="2"/>
    </font>
    <font>
      <sz val="10"/>
      <color rgb="FF000000"/>
      <name val="Calibri"/>
      <family val="2"/>
    </font>
    <font>
      <b val="true"/>
      <sz val="10"/>
      <color rgb="FF000000"/>
      <name val="Calibri"/>
      <family val="2"/>
    </font>
  </fonts>
  <fills count="10">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F3F1EC"/>
      </patternFill>
    </fill>
    <fill>
      <patternFill patternType="solid">
        <fgColor rgb="FFFBFAF7"/>
        <bgColor rgb="FFFFFFFF"/>
      </patternFill>
    </fill>
    <fill>
      <patternFill patternType="solid">
        <fgColor rgb="FF1A1816"/>
        <bgColor rgb="FF000000"/>
      </patternFill>
    </fill>
    <fill>
      <patternFill patternType="solid">
        <fgColor rgb="FF5F5850"/>
        <bgColor rgb="FF7A4A00"/>
      </patternFill>
    </fill>
    <fill>
      <patternFill patternType="solid">
        <fgColor rgb="FF137252"/>
        <bgColor rgb="FF008080"/>
      </patternFill>
    </fill>
    <fill>
      <patternFill patternType="solid">
        <fgColor rgb="FF1D9E75"/>
        <bgColor rgb="FF008080"/>
      </patternFill>
    </fill>
  </fills>
  <borders count="4">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 diagonalUp="false" diagonalDown="false">
      <left style="thin">
        <color rgb="FFE6E0D6"/>
      </left>
      <right style="thin">
        <color rgb="FFE6E0D6"/>
      </right>
      <top style="medium">
        <color rgb="FFE8593C"/>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6" borderId="2" xfId="0" applyFont="true" applyBorder="true" applyAlignment="true" applyProtection="false">
      <alignment horizontal="center" vertical="center" textRotation="0" wrapText="true" indent="0" shrinkToFit="false"/>
      <protection locked="true" hidden="false"/>
    </xf>
    <xf numFmtId="164" fontId="11"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4" fontId="10" fillId="7" borderId="2" xfId="0" applyFont="true" applyBorder="true" applyAlignment="true" applyProtection="false">
      <alignment horizontal="center" vertical="center" textRotation="0" wrapText="true" indent="0" shrinkToFit="false"/>
      <protection locked="true" hidden="false"/>
    </xf>
    <xf numFmtId="164" fontId="10" fillId="8" borderId="2" xfId="0" applyFont="true" applyBorder="true" applyAlignment="true" applyProtection="false">
      <alignment horizontal="center" vertical="center" textRotation="0" wrapText="true" indent="0" shrinkToFit="false"/>
      <protection locked="true" hidden="false"/>
    </xf>
    <xf numFmtId="166" fontId="11" fillId="4" borderId="2" xfId="0" applyFont="true" applyBorder="true" applyAlignment="true" applyProtection="false">
      <alignment horizontal="center" vertical="top" textRotation="0" wrapText="true" indent="0" shrinkToFit="false"/>
      <protection locked="true" hidden="false"/>
    </xf>
    <xf numFmtId="164" fontId="11" fillId="4" borderId="2" xfId="0" applyFont="true" applyBorder="true" applyAlignment="true" applyProtection="false">
      <alignment horizontal="left" vertical="top" textRotation="0" wrapText="true" indent="0" shrinkToFit="false"/>
      <protection locked="true" hidden="false"/>
    </xf>
    <xf numFmtId="164" fontId="10" fillId="2" borderId="2" xfId="0" applyFont="true" applyBorder="true" applyAlignment="true" applyProtection="false">
      <alignment horizontal="center" vertical="center" textRotation="0" wrapText="true" indent="0" shrinkToFit="false"/>
      <protection locked="true" hidden="false"/>
    </xf>
    <xf numFmtId="164" fontId="12" fillId="5" borderId="2" xfId="0" applyFont="true" applyBorder="true" applyAlignment="true" applyProtection="false">
      <alignment horizontal="center" vertical="top" textRotation="0" wrapText="true" indent="0" shrinkToFit="false"/>
      <protection locked="true" hidden="false"/>
    </xf>
    <xf numFmtId="164" fontId="13" fillId="5" borderId="2" xfId="0" applyFont="true" applyBorder="true" applyAlignment="true" applyProtection="false">
      <alignment horizontal="left" vertical="top" textRotation="0" wrapText="true" indent="0" shrinkToFit="false"/>
      <protection locked="true" hidden="false"/>
    </xf>
    <xf numFmtId="164" fontId="12" fillId="5" borderId="2" xfId="0" applyFont="true" applyBorder="true" applyAlignment="true" applyProtection="false">
      <alignment horizontal="left" vertical="top" textRotation="0" wrapText="true" indent="0" shrinkToFit="false"/>
      <protection locked="true" hidden="false"/>
    </xf>
    <xf numFmtId="164" fontId="12" fillId="4" borderId="2" xfId="0" applyFont="true" applyBorder="true" applyAlignment="true" applyProtection="false">
      <alignment horizontal="center" vertical="top" textRotation="0" wrapText="true" indent="0" shrinkToFit="false"/>
      <protection locked="true" hidden="false"/>
    </xf>
    <xf numFmtId="164" fontId="12" fillId="3" borderId="2" xfId="0" applyFont="true" applyBorder="true" applyAlignment="true" applyProtection="false">
      <alignment horizontal="center" vertical="top" textRotation="0" wrapText="true" indent="0" shrinkToFit="false"/>
      <protection locked="true" hidden="false"/>
    </xf>
    <xf numFmtId="164" fontId="12" fillId="3" borderId="2" xfId="0" applyFont="true" applyBorder="true" applyAlignment="true" applyProtection="false">
      <alignment horizontal="left" vertical="top" textRotation="0" wrapText="true" indent="0" shrinkToFit="false"/>
      <protection locked="true" hidden="false"/>
    </xf>
    <xf numFmtId="165" fontId="12" fillId="3" borderId="2" xfId="0" applyFont="true" applyBorder="true" applyAlignment="true" applyProtection="false">
      <alignment horizontal="center" vertical="top" textRotation="0" wrapText="true" indent="0" shrinkToFit="false"/>
      <protection locked="true" hidden="false"/>
    </xf>
    <xf numFmtId="164" fontId="12" fillId="5" borderId="3" xfId="0" applyFont="true" applyBorder="true" applyAlignment="true" applyProtection="false">
      <alignment horizontal="center" vertical="top" textRotation="0" wrapText="true" indent="0" shrinkToFit="false"/>
      <protection locked="true" hidden="false"/>
    </xf>
    <xf numFmtId="164" fontId="13" fillId="5" borderId="3" xfId="0" applyFont="true" applyBorder="true" applyAlignment="true" applyProtection="false">
      <alignment horizontal="left" vertical="top" textRotation="0" wrapText="true" indent="0" shrinkToFit="false"/>
      <protection locked="true" hidden="false"/>
    </xf>
    <xf numFmtId="164" fontId="12" fillId="5" borderId="3" xfId="0" applyFont="true" applyBorder="true" applyAlignment="true" applyProtection="false">
      <alignment horizontal="left" vertical="top" textRotation="0" wrapText="true" indent="0" shrinkToFit="false"/>
      <protection locked="true" hidden="false"/>
    </xf>
    <xf numFmtId="164" fontId="12" fillId="4" borderId="3" xfId="0" applyFont="true" applyBorder="true" applyAlignment="true" applyProtection="false">
      <alignment horizontal="center" vertical="top" textRotation="0" wrapText="true" indent="0" shrinkToFit="false"/>
      <protection locked="true" hidden="false"/>
    </xf>
    <xf numFmtId="164" fontId="12" fillId="3" borderId="3" xfId="0" applyFont="true" applyBorder="true" applyAlignment="true" applyProtection="false">
      <alignment horizontal="center" vertical="top" textRotation="0" wrapText="true" indent="0" shrinkToFit="false"/>
      <protection locked="true" hidden="false"/>
    </xf>
    <xf numFmtId="164" fontId="12" fillId="3" borderId="3" xfId="0" applyFont="true" applyBorder="true" applyAlignment="true" applyProtection="false">
      <alignment horizontal="left" vertical="top" textRotation="0" wrapText="true" indent="0" shrinkToFit="false"/>
      <protection locked="true" hidden="false"/>
    </xf>
    <xf numFmtId="165" fontId="12" fillId="3" borderId="3" xfId="0" applyFont="true" applyBorder="true" applyAlignment="true" applyProtection="false">
      <alignment horizontal="center" vertical="top" textRotation="0" wrapText="tru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right" vertical="bottom" textRotation="0" wrapText="false" indent="0" shrinkToFit="false"/>
      <protection locked="true" hidden="false"/>
    </xf>
    <xf numFmtId="165" fontId="14" fillId="0" borderId="0" xfId="0" applyFont="true" applyBorder="false" applyAlignment="true" applyProtection="false">
      <alignment horizontal="left" vertical="bottom" textRotation="0" wrapText="false" indent="0" shrinkToFit="false"/>
      <protection locked="true" hidden="false"/>
    </xf>
    <xf numFmtId="164" fontId="6" fillId="5" borderId="2"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7" fontId="11" fillId="4" borderId="2" xfId="0" applyFont="true" applyBorder="true" applyAlignment="true" applyProtection="false">
      <alignment horizontal="center" vertical="top" textRotation="0" wrapText="true" indent="0" shrinkToFit="false"/>
      <protection locked="true" hidden="false"/>
    </xf>
    <xf numFmtId="164" fontId="11"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4" fontId="11" fillId="5" borderId="2" xfId="0" applyFont="true" applyBorder="true" applyAlignment="true" applyProtection="false">
      <alignment horizontal="center"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4" fontId="4" fillId="9" borderId="2" xfId="0" applyFont="true" applyBorder="true" applyAlignment="true" applyProtection="false">
      <alignment horizontal="left" vertical="top" textRotation="0" wrapText="true" indent="0" shrinkToFit="false"/>
      <protection locked="true" hidden="false"/>
    </xf>
    <xf numFmtId="166" fontId="4" fillId="9" borderId="2" xfId="0" applyFont="true" applyBorder="true" applyAlignment="true" applyProtection="false">
      <alignment horizontal="center" vertical="top" textRotation="0" wrapText="true" indent="0" shrinkToFit="false"/>
      <protection locked="true" hidden="false"/>
    </xf>
    <xf numFmtId="167" fontId="4" fillId="9" borderId="2" xfId="0" applyFont="true" applyBorder="true" applyAlignment="true" applyProtection="false">
      <alignment horizontal="center" vertical="top"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4" fontId="12" fillId="4" borderId="2" xfId="0" applyFont="true" applyBorder="true" applyAlignment="true" applyProtection="false">
      <alignment horizontal="left"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ont>
        <name val="Arial"/>
        <charset val="1"/>
        <family val="0"/>
        <b val="1"/>
        <color rgb="FFB83E24"/>
      </font>
      <fill>
        <patternFill>
          <bgColor rgb="FFFBE6DF"/>
        </patternFill>
      </fill>
    </dxf>
    <dxf>
      <font>
        <name val="Arial"/>
        <charset val="1"/>
        <family val="0"/>
        <color rgb="FF1A1816"/>
      </font>
      <fill>
        <patternFill>
          <bgColor rgb="FFDCF1E9"/>
        </patternFill>
      </fill>
    </dxf>
    <dxf>
      <font>
        <name val="Arial"/>
        <charset val="1"/>
        <family val="0"/>
        <color rgb="FF1A1816"/>
      </font>
      <fill>
        <patternFill>
          <bgColor rgb="FFFDEFC8"/>
        </patternFill>
      </fill>
    </dxf>
    <dxf>
      <font>
        <name val="Arial"/>
        <charset val="1"/>
        <family val="0"/>
        <color rgb="FF5F5850"/>
      </font>
      <fill>
        <patternFill>
          <bgColor rgb="FFF3F1EC"/>
        </patternFill>
      </fill>
    </dxf>
    <dxf>
      <font>
        <name val="Arial"/>
        <charset val="1"/>
        <family val="0"/>
        <color rgb="FFA8A29A"/>
      </font>
      <fill>
        <patternFill>
          <bgColor rgb="FFF3F1EC"/>
        </patternFill>
      </fill>
    </dxf>
    <dxf>
      <font>
        <name val="Arial"/>
        <charset val="1"/>
        <family val="0"/>
        <color rgb="FF1A1816"/>
      </font>
      <fill>
        <patternFill>
          <bgColor rgb="FFFBE6DF"/>
        </patternFill>
      </fill>
    </dxf>
    <dxf>
      <font>
        <name val="Arial"/>
        <charset val="1"/>
        <family val="0"/>
        <b val="1"/>
        <color rgb="FF1A1816"/>
      </font>
      <fill>
        <patternFill>
          <bgColor rgb="FFFDEFC8"/>
        </patternFill>
      </fill>
    </dxf>
    <dxf>
      <font>
        <name val="Arial"/>
        <charset val="1"/>
        <family val="0"/>
        <b val="1"/>
        <color rgb="FF7A4A00"/>
      </font>
      <fill>
        <patternFill>
          <bgColor rgb="FFF9D5A7"/>
        </patternFill>
      </fill>
    </dxf>
    <dxf>
      <font>
        <name val="Arial"/>
        <charset val="1"/>
        <family val="0"/>
        <b val="1"/>
        <color rgb="FF137252"/>
      </font>
      <fill>
        <patternFill>
          <bgColor rgb="FFDCF1E9"/>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A4A00"/>
      <rgbColor rgb="FF800080"/>
      <rgbColor rgb="FF137252"/>
      <rgbColor rgb="FFB8B2A7"/>
      <rgbColor rgb="FF878787"/>
      <rgbColor rgb="FF9999FF"/>
      <rgbColor rgb="FF993366"/>
      <rgbColor rgb="FFFDEFC8"/>
      <rgbColor rgb="FFDCF1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3F1EC"/>
      <rgbColor rgb="FFE6E0D6"/>
      <rgbColor rgb="FFFBE6DF"/>
      <rgbColor rgb="FFFBFAF7"/>
      <rgbColor rgb="FFFF99CC"/>
      <rgbColor rgb="FFCC99FF"/>
      <rgbColor rgb="FFF9D5A7"/>
      <rgbColor rgb="FF3366FF"/>
      <rgbColor rgb="FF33CCCC"/>
      <rgbColor rgb="FF99CC00"/>
      <rgbColor rgb="FFFFCC00"/>
      <rgbColor rgb="FFE0A82E"/>
      <rgbColor rgb="FFE8593C"/>
      <rgbColor rgb="FF5F5850"/>
      <rgbColor rgb="FFA8A29A"/>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Taux de conformité par critère</a:t>
            </a:r>
          </a:p>
        </c:rich>
      </c:tx>
      <c:overlay val="0"/>
      <c:spPr>
        <a:noFill/>
        <a:ln w="0">
          <a:noFill/>
        </a:ln>
      </c:spPr>
    </c:title>
    <c:autoTitleDeleted val="0"/>
    <c:plotArea>
      <c:barChart>
        <c:barDir val="col"/>
        <c:grouping val="clustered"/>
        <c:varyColors val="0"/>
        <c:ser>
          <c:idx val="0"/>
          <c:order val="0"/>
          <c:tx>
            <c:strRef>
              <c:f>Synthèse!H29</c:f>
              <c:strCache>
                <c:ptCount val="1"/>
                <c:pt idx="0">
                  <c:v>% de conformité</c:v>
                </c:pt>
              </c:strCache>
            </c:strRef>
          </c:tx>
          <c:spPr>
            <a:solidFill>
              <a:srgbClr val="e8593c"/>
            </a:solidFill>
            <a:ln w="9360">
              <a:solidFill>
                <a:srgbClr val="e8593c"/>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Synthèse!$A$30:$A$36</c:f>
              <c:strCache>
                <c:ptCount val="7"/>
                <c:pt idx="0">
                  <c:v>1</c:v>
                </c:pt>
                <c:pt idx="1">
                  <c:v>2</c:v>
                </c:pt>
                <c:pt idx="2">
                  <c:v>3</c:v>
                </c:pt>
                <c:pt idx="3">
                  <c:v>4</c:v>
                </c:pt>
                <c:pt idx="4">
                  <c:v>5</c:v>
                </c:pt>
                <c:pt idx="5">
                  <c:v>6</c:v>
                </c:pt>
                <c:pt idx="6">
                  <c:v>7</c:v>
                </c:pt>
              </c:strCache>
            </c:strRef>
          </c:cat>
          <c:val>
            <c:numRef>
              <c:f>Synthèse!$H$30:$H$36</c:f>
              <c:numCache>
                <c:formatCode>General</c:formatCode>
                <c:ptCount val="7"/>
              </c:numCache>
            </c:numRef>
          </c:val>
        </c:ser>
        <c:gapWidth val="60"/>
        <c:overlap val="0"/>
        <c:axId val="50904136"/>
        <c:axId val="56464904"/>
      </c:barChart>
      <c:catAx>
        <c:axId val="50904136"/>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Critère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6464904"/>
        <c:crosses val="autoZero"/>
        <c:auto val="1"/>
        <c:lblAlgn val="ctr"/>
        <c:lblOffset val="100"/>
        <c:noMultiLvlLbl val="0"/>
      </c:catAx>
      <c:valAx>
        <c:axId val="56464904"/>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090413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Répartition des évaluations</a:t>
            </a:r>
          </a:p>
        </c:rich>
      </c:tx>
      <c:overlay val="0"/>
      <c:spPr>
        <a:noFill/>
        <a:ln w="0">
          <a:noFill/>
        </a:ln>
      </c:spPr>
    </c:title>
    <c:autoTitleDeleted val="0"/>
    <c:plotArea>
      <c:barChart>
        <c:barDir val="col"/>
        <c:grouping val="stacked"/>
        <c:varyColors val="0"/>
        <c:ser>
          <c:idx val="0"/>
          <c:order val="0"/>
          <c:tx>
            <c:strRef>
              <c:f>Synthèse!D29</c:f>
              <c:strCache>
                <c:ptCount val="1"/>
                <c:pt idx="0">
                  <c:v>Conformes</c:v>
                </c:pt>
              </c:strCache>
            </c:strRef>
          </c:tx>
          <c:spPr>
            <a:solidFill>
              <a:srgbClr val="1d9e75"/>
            </a:solidFill>
            <a:ln w="9360">
              <a:solidFill>
                <a:srgbClr val="1d9e75"/>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Synthèse!$A$30:$A$36</c:f>
              <c:strCache>
                <c:ptCount val="7"/>
                <c:pt idx="0">
                  <c:v>1</c:v>
                </c:pt>
                <c:pt idx="1">
                  <c:v>2</c:v>
                </c:pt>
                <c:pt idx="2">
                  <c:v>3</c:v>
                </c:pt>
                <c:pt idx="3">
                  <c:v>4</c:v>
                </c:pt>
                <c:pt idx="4">
                  <c:v>5</c:v>
                </c:pt>
                <c:pt idx="5">
                  <c:v>6</c:v>
                </c:pt>
                <c:pt idx="6">
                  <c:v>7</c:v>
                </c:pt>
              </c:strCache>
            </c:strRef>
          </c:cat>
          <c:val>
            <c:numRef>
              <c:f>Synthèse!$D$30:$D$36</c:f>
              <c:numCache>
                <c:formatCode>General</c:formatCode>
                <c:ptCount val="7"/>
                <c:pt idx="0">
                  <c:v>0</c:v>
                </c:pt>
                <c:pt idx="1">
                  <c:v>0</c:v>
                </c:pt>
                <c:pt idx="2">
                  <c:v>0</c:v>
                </c:pt>
                <c:pt idx="3">
                  <c:v>0</c:v>
                </c:pt>
                <c:pt idx="4">
                  <c:v>0</c:v>
                </c:pt>
                <c:pt idx="5">
                  <c:v>0</c:v>
                </c:pt>
                <c:pt idx="6">
                  <c:v>0</c:v>
                </c:pt>
              </c:numCache>
            </c:numRef>
          </c:val>
        </c:ser>
        <c:ser>
          <c:idx val="1"/>
          <c:order val="1"/>
          <c:tx>
            <c:strRef>
              <c:f>Synthèse!E29</c:f>
              <c:strCache>
                <c:ptCount val="1"/>
                <c:pt idx="0">
                  <c:v>Partiels</c:v>
                </c:pt>
              </c:strCache>
            </c:strRef>
          </c:tx>
          <c:spPr>
            <a:solidFill>
              <a:srgbClr val="e0a82e"/>
            </a:solidFill>
            <a:ln w="9360">
              <a:solidFill>
                <a:srgbClr val="e0a82e"/>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Synthèse!$A$30:$A$36</c:f>
              <c:strCache>
                <c:ptCount val="7"/>
                <c:pt idx="0">
                  <c:v>1</c:v>
                </c:pt>
                <c:pt idx="1">
                  <c:v>2</c:v>
                </c:pt>
                <c:pt idx="2">
                  <c:v>3</c:v>
                </c:pt>
                <c:pt idx="3">
                  <c:v>4</c:v>
                </c:pt>
                <c:pt idx="4">
                  <c:v>5</c:v>
                </c:pt>
                <c:pt idx="5">
                  <c:v>6</c:v>
                </c:pt>
                <c:pt idx="6">
                  <c:v>7</c:v>
                </c:pt>
              </c:strCache>
            </c:strRef>
          </c:cat>
          <c:val>
            <c:numRef>
              <c:f>Synthèse!$E$30:$E$36</c:f>
              <c:numCache>
                <c:formatCode>General</c:formatCode>
                <c:ptCount val="7"/>
                <c:pt idx="0">
                  <c:v>0</c:v>
                </c:pt>
                <c:pt idx="1">
                  <c:v>0</c:v>
                </c:pt>
                <c:pt idx="2">
                  <c:v>0</c:v>
                </c:pt>
                <c:pt idx="3">
                  <c:v>0</c:v>
                </c:pt>
                <c:pt idx="4">
                  <c:v>0</c:v>
                </c:pt>
                <c:pt idx="5">
                  <c:v>0</c:v>
                </c:pt>
                <c:pt idx="6">
                  <c:v>0</c:v>
                </c:pt>
              </c:numCache>
            </c:numRef>
          </c:val>
        </c:ser>
        <c:ser>
          <c:idx val="2"/>
          <c:order val="2"/>
          <c:tx>
            <c:strRef>
              <c:f>Synthèse!F29</c:f>
              <c:strCache>
                <c:ptCount val="1"/>
                <c:pt idx="0">
                  <c:v>Non conformes</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Synthèse!$A$30:$A$36</c:f>
              <c:strCache>
                <c:ptCount val="7"/>
                <c:pt idx="0">
                  <c:v>1</c:v>
                </c:pt>
                <c:pt idx="1">
                  <c:v>2</c:v>
                </c:pt>
                <c:pt idx="2">
                  <c:v>3</c:v>
                </c:pt>
                <c:pt idx="3">
                  <c:v>4</c:v>
                </c:pt>
                <c:pt idx="4">
                  <c:v>5</c:v>
                </c:pt>
                <c:pt idx="5">
                  <c:v>6</c:v>
                </c:pt>
                <c:pt idx="6">
                  <c:v>7</c:v>
                </c:pt>
              </c:strCache>
            </c:strRef>
          </c:cat>
          <c:val>
            <c:numRef>
              <c:f>Synthèse!$F$30:$F$36</c:f>
              <c:numCache>
                <c:formatCode>General</c:formatCode>
                <c:ptCount val="7"/>
                <c:pt idx="0">
                  <c:v>0</c:v>
                </c:pt>
                <c:pt idx="1">
                  <c:v>0</c:v>
                </c:pt>
                <c:pt idx="2">
                  <c:v>0</c:v>
                </c:pt>
                <c:pt idx="3">
                  <c:v>0</c:v>
                </c:pt>
                <c:pt idx="4">
                  <c:v>0</c:v>
                </c:pt>
                <c:pt idx="5">
                  <c:v>0</c:v>
                </c:pt>
                <c:pt idx="6">
                  <c:v>0</c:v>
                </c:pt>
              </c:numCache>
            </c:numRef>
          </c:val>
        </c:ser>
        <c:ser>
          <c:idx val="3"/>
          <c:order val="3"/>
          <c:tx>
            <c:strRef>
              <c:f>Synthèse!G29</c:f>
              <c:strCache>
                <c:ptCount val="1"/>
                <c:pt idx="0">
                  <c:v>À évaluer</c:v>
                </c:pt>
              </c:strCache>
            </c:strRef>
          </c:tx>
          <c:spPr>
            <a:solidFill>
              <a:srgbClr val="b8b2a7"/>
            </a:solidFill>
            <a:ln w="9360">
              <a:solidFill>
                <a:srgbClr val="b8b2a7"/>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Synthèse!$A$30:$A$36</c:f>
              <c:strCache>
                <c:ptCount val="7"/>
                <c:pt idx="0">
                  <c:v>1</c:v>
                </c:pt>
                <c:pt idx="1">
                  <c:v>2</c:v>
                </c:pt>
                <c:pt idx="2">
                  <c:v>3</c:v>
                </c:pt>
                <c:pt idx="3">
                  <c:v>4</c:v>
                </c:pt>
                <c:pt idx="4">
                  <c:v>5</c:v>
                </c:pt>
                <c:pt idx="5">
                  <c:v>6</c:v>
                </c:pt>
                <c:pt idx="6">
                  <c:v>7</c:v>
                </c:pt>
              </c:strCache>
            </c:strRef>
          </c:cat>
          <c:val>
            <c:numRef>
              <c:f>Synthèse!$G$30:$G$36</c:f>
              <c:numCache>
                <c:formatCode>General</c:formatCode>
                <c:ptCount val="7"/>
                <c:pt idx="0">
                  <c:v>0</c:v>
                </c:pt>
                <c:pt idx="1">
                  <c:v>0</c:v>
                </c:pt>
                <c:pt idx="2">
                  <c:v>0</c:v>
                </c:pt>
                <c:pt idx="3">
                  <c:v>0</c:v>
                </c:pt>
                <c:pt idx="4">
                  <c:v>0</c:v>
                </c:pt>
                <c:pt idx="5">
                  <c:v>0</c:v>
                </c:pt>
                <c:pt idx="6">
                  <c:v>0</c:v>
                </c:pt>
              </c:numCache>
            </c:numRef>
          </c:val>
        </c:ser>
        <c:gapWidth val="60"/>
        <c:overlap val="100"/>
        <c:axId val="60315664"/>
        <c:axId val="55252151"/>
      </c:barChart>
      <c:catAx>
        <c:axId val="60315664"/>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Critère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5252151"/>
        <c:crosses val="autoZero"/>
        <c:auto val="1"/>
        <c:lblAlgn val="ctr"/>
        <c:lblOffset val="100"/>
        <c:noMultiLvlLbl val="0"/>
      </c:catAx>
      <c:valAx>
        <c:axId val="55252151"/>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0315664"/>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Taux de conformité par critère</a:t>
            </a:r>
          </a:p>
        </c:rich>
      </c:tx>
      <c:overlay val="0"/>
      <c:spPr>
        <a:noFill/>
        <a:ln w="0">
          <a:noFill/>
        </a:ln>
      </c:spPr>
    </c:title>
    <c:autoTitleDeleted val="0"/>
    <c:plotArea>
      <c:barChart>
        <c:barDir val="col"/>
        <c:grouping val="clustered"/>
        <c:varyColors val="0"/>
        <c:ser>
          <c:idx val="0"/>
          <c:order val="0"/>
          <c:tx>
            <c:strRef>
              <c:f>'Exemple synthèse'!H29</c:f>
              <c:strCache>
                <c:ptCount val="1"/>
                <c:pt idx="0">
                  <c:v>% de conformité</c:v>
                </c:pt>
              </c:strCache>
            </c:strRef>
          </c:tx>
          <c:spPr>
            <a:solidFill>
              <a:srgbClr val="e8593c"/>
            </a:solidFill>
            <a:ln w="9360">
              <a:solidFill>
                <a:srgbClr val="e8593c"/>
              </a:solidFill>
              <a:round/>
            </a:ln>
          </c:spPr>
          <c:invertIfNegative val="0"/>
          <c:dLbls>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'Exemple synthèse'!$A$30:$A$36</c:f>
              <c:strCache>
                <c:ptCount val="7"/>
                <c:pt idx="0">
                  <c:v>1</c:v>
                </c:pt>
                <c:pt idx="1">
                  <c:v>2</c:v>
                </c:pt>
                <c:pt idx="2">
                  <c:v>3</c:v>
                </c:pt>
                <c:pt idx="3">
                  <c:v>4</c:v>
                </c:pt>
                <c:pt idx="4">
                  <c:v>5</c:v>
                </c:pt>
                <c:pt idx="5">
                  <c:v>6</c:v>
                </c:pt>
                <c:pt idx="6">
                  <c:v>7</c:v>
                </c:pt>
              </c:strCache>
            </c:strRef>
          </c:cat>
          <c:val>
            <c:numRef>
              <c:f>'Exemple synthèse'!$H$30:$H$36</c:f>
              <c:numCache>
                <c:formatCode>0%</c:formatCode>
                <c:ptCount val="7"/>
                <c:pt idx="0">
                  <c:v>0</c:v>
                </c:pt>
                <c:pt idx="1">
                  <c:v>1</c:v>
                </c:pt>
                <c:pt idx="2">
                  <c:v>0.8</c:v>
                </c:pt>
                <c:pt idx="3">
                  <c:v>0.666666666666667</c:v>
                </c:pt>
                <c:pt idx="4">
                  <c:v>1</c:v>
                </c:pt>
                <c:pt idx="5">
                  <c:v>0.6</c:v>
                </c:pt>
                <c:pt idx="6">
                  <c:v>0.333333333333333</c:v>
                </c:pt>
              </c:numCache>
            </c:numRef>
          </c:val>
        </c:ser>
        <c:gapWidth val="60"/>
        <c:overlap val="0"/>
        <c:axId val="15521470"/>
        <c:axId val="16411261"/>
      </c:barChart>
      <c:catAx>
        <c:axId val="15521470"/>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Critère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6411261"/>
        <c:crosses val="autoZero"/>
        <c:auto val="1"/>
        <c:lblAlgn val="ctr"/>
        <c:lblOffset val="100"/>
        <c:noMultiLvlLbl val="0"/>
      </c:catAx>
      <c:valAx>
        <c:axId val="16411261"/>
        <c:scaling>
          <c:orientation val="minMax"/>
          <c:max val="1"/>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52147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Répartition des évaluations</a:t>
            </a:r>
          </a:p>
        </c:rich>
      </c:tx>
      <c:overlay val="0"/>
      <c:spPr>
        <a:noFill/>
        <a:ln w="0">
          <a:noFill/>
        </a:ln>
      </c:spPr>
    </c:title>
    <c:autoTitleDeleted val="0"/>
    <c:plotArea>
      <c:barChart>
        <c:barDir val="col"/>
        <c:grouping val="stacked"/>
        <c:varyColors val="0"/>
        <c:ser>
          <c:idx val="0"/>
          <c:order val="0"/>
          <c:tx>
            <c:strRef>
              <c:f>'Exemple synthèse'!D29</c:f>
              <c:strCache>
                <c:ptCount val="1"/>
                <c:pt idx="0">
                  <c:v>Conformes</c:v>
                </c:pt>
              </c:strCache>
            </c:strRef>
          </c:tx>
          <c:spPr>
            <a:solidFill>
              <a:srgbClr val="1d9e75"/>
            </a:solidFill>
            <a:ln w="9360">
              <a:solidFill>
                <a:srgbClr val="1d9e75"/>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synthèse'!$A$30:$A$36</c:f>
              <c:strCache>
                <c:ptCount val="7"/>
                <c:pt idx="0">
                  <c:v>1</c:v>
                </c:pt>
                <c:pt idx="1">
                  <c:v>2</c:v>
                </c:pt>
                <c:pt idx="2">
                  <c:v>3</c:v>
                </c:pt>
                <c:pt idx="3">
                  <c:v>4</c:v>
                </c:pt>
                <c:pt idx="4">
                  <c:v>5</c:v>
                </c:pt>
                <c:pt idx="5">
                  <c:v>6</c:v>
                </c:pt>
                <c:pt idx="6">
                  <c:v>7</c:v>
                </c:pt>
              </c:strCache>
            </c:strRef>
          </c:cat>
          <c:val>
            <c:numRef>
              <c:f>'Exemple synthèse'!$D$30:$D$36</c:f>
              <c:numCache>
                <c:formatCode>General</c:formatCode>
                <c:ptCount val="7"/>
                <c:pt idx="0">
                  <c:v>0</c:v>
                </c:pt>
                <c:pt idx="1">
                  <c:v>5</c:v>
                </c:pt>
                <c:pt idx="2">
                  <c:v>4</c:v>
                </c:pt>
                <c:pt idx="3">
                  <c:v>2</c:v>
                </c:pt>
                <c:pt idx="4">
                  <c:v>2</c:v>
                </c:pt>
                <c:pt idx="5">
                  <c:v>3</c:v>
                </c:pt>
                <c:pt idx="6">
                  <c:v>1</c:v>
                </c:pt>
              </c:numCache>
            </c:numRef>
          </c:val>
        </c:ser>
        <c:ser>
          <c:idx val="1"/>
          <c:order val="1"/>
          <c:tx>
            <c:strRef>
              <c:f>'Exemple synthèse'!E29</c:f>
              <c:strCache>
                <c:ptCount val="1"/>
                <c:pt idx="0">
                  <c:v>Partiels</c:v>
                </c:pt>
              </c:strCache>
            </c:strRef>
          </c:tx>
          <c:spPr>
            <a:solidFill>
              <a:srgbClr val="e0a82e"/>
            </a:solidFill>
            <a:ln w="9360">
              <a:solidFill>
                <a:srgbClr val="e0a82e"/>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synthèse'!$A$30:$A$36</c:f>
              <c:strCache>
                <c:ptCount val="7"/>
                <c:pt idx="0">
                  <c:v>1</c:v>
                </c:pt>
                <c:pt idx="1">
                  <c:v>2</c:v>
                </c:pt>
                <c:pt idx="2">
                  <c:v>3</c:v>
                </c:pt>
                <c:pt idx="3">
                  <c:v>4</c:v>
                </c:pt>
                <c:pt idx="4">
                  <c:v>5</c:v>
                </c:pt>
                <c:pt idx="5">
                  <c:v>6</c:v>
                </c:pt>
                <c:pt idx="6">
                  <c:v>7</c:v>
                </c:pt>
              </c:strCache>
            </c:strRef>
          </c:cat>
          <c:val>
            <c:numRef>
              <c:f>'Exemple synthèse'!$E$30:$E$36</c:f>
              <c:numCache>
                <c:formatCode>General</c:formatCode>
                <c:ptCount val="7"/>
                <c:pt idx="0">
                  <c:v>3</c:v>
                </c:pt>
                <c:pt idx="1">
                  <c:v>0</c:v>
                </c:pt>
                <c:pt idx="2">
                  <c:v>1</c:v>
                </c:pt>
                <c:pt idx="3">
                  <c:v>1</c:v>
                </c:pt>
                <c:pt idx="4">
                  <c:v>0</c:v>
                </c:pt>
                <c:pt idx="5">
                  <c:v>2</c:v>
                </c:pt>
                <c:pt idx="6">
                  <c:v>1</c:v>
                </c:pt>
              </c:numCache>
            </c:numRef>
          </c:val>
        </c:ser>
        <c:ser>
          <c:idx val="2"/>
          <c:order val="2"/>
          <c:tx>
            <c:strRef>
              <c:f>'Exemple synthèse'!F29</c:f>
              <c:strCache>
                <c:ptCount val="1"/>
                <c:pt idx="0">
                  <c:v>Non conformes</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synthèse'!$A$30:$A$36</c:f>
              <c:strCache>
                <c:ptCount val="7"/>
                <c:pt idx="0">
                  <c:v>1</c:v>
                </c:pt>
                <c:pt idx="1">
                  <c:v>2</c:v>
                </c:pt>
                <c:pt idx="2">
                  <c:v>3</c:v>
                </c:pt>
                <c:pt idx="3">
                  <c:v>4</c:v>
                </c:pt>
                <c:pt idx="4">
                  <c:v>5</c:v>
                </c:pt>
                <c:pt idx="5">
                  <c:v>6</c:v>
                </c:pt>
                <c:pt idx="6">
                  <c:v>7</c:v>
                </c:pt>
              </c:strCache>
            </c:strRef>
          </c:cat>
          <c:val>
            <c:numRef>
              <c:f>'Exemple synthèse'!$F$30:$F$36</c:f>
              <c:numCache>
                <c:formatCode>General</c:formatCode>
                <c:ptCount val="7"/>
                <c:pt idx="0">
                  <c:v>0</c:v>
                </c:pt>
                <c:pt idx="1">
                  <c:v>0</c:v>
                </c:pt>
                <c:pt idx="2">
                  <c:v>0</c:v>
                </c:pt>
                <c:pt idx="3">
                  <c:v>0</c:v>
                </c:pt>
                <c:pt idx="4">
                  <c:v>0</c:v>
                </c:pt>
                <c:pt idx="5">
                  <c:v>0</c:v>
                </c:pt>
                <c:pt idx="6">
                  <c:v>1</c:v>
                </c:pt>
              </c:numCache>
            </c:numRef>
          </c:val>
        </c:ser>
        <c:ser>
          <c:idx val="3"/>
          <c:order val="3"/>
          <c:tx>
            <c:strRef>
              <c:f>'Exemple synthèse'!G29</c:f>
              <c:strCache>
                <c:ptCount val="1"/>
                <c:pt idx="0">
                  <c:v>À évaluer</c:v>
                </c:pt>
              </c:strCache>
            </c:strRef>
          </c:tx>
          <c:spPr>
            <a:solidFill>
              <a:srgbClr val="b8b2a7"/>
            </a:solidFill>
            <a:ln w="9360">
              <a:solidFill>
                <a:srgbClr val="b8b2a7"/>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synthèse'!$A$30:$A$36</c:f>
              <c:strCache>
                <c:ptCount val="7"/>
                <c:pt idx="0">
                  <c:v>1</c:v>
                </c:pt>
                <c:pt idx="1">
                  <c:v>2</c:v>
                </c:pt>
                <c:pt idx="2">
                  <c:v>3</c:v>
                </c:pt>
                <c:pt idx="3">
                  <c:v>4</c:v>
                </c:pt>
                <c:pt idx="4">
                  <c:v>5</c:v>
                </c:pt>
                <c:pt idx="5">
                  <c:v>6</c:v>
                </c:pt>
                <c:pt idx="6">
                  <c:v>7</c:v>
                </c:pt>
              </c:strCache>
            </c:strRef>
          </c:cat>
          <c:val>
            <c:numRef>
              <c:f>'Exemple synthèse'!$G$30:$G$36</c:f>
              <c:numCache>
                <c:formatCode>General</c:formatCode>
                <c:ptCount val="7"/>
                <c:pt idx="0">
                  <c:v>0</c:v>
                </c:pt>
                <c:pt idx="1">
                  <c:v>0</c:v>
                </c:pt>
                <c:pt idx="2">
                  <c:v>0</c:v>
                </c:pt>
                <c:pt idx="3">
                  <c:v>0</c:v>
                </c:pt>
                <c:pt idx="4">
                  <c:v>0</c:v>
                </c:pt>
                <c:pt idx="5">
                  <c:v>0</c:v>
                </c:pt>
                <c:pt idx="6">
                  <c:v>0</c:v>
                </c:pt>
              </c:numCache>
            </c:numRef>
          </c:val>
        </c:ser>
        <c:gapWidth val="60"/>
        <c:overlap val="100"/>
        <c:axId val="94610847"/>
        <c:axId val="18657812"/>
      </c:barChart>
      <c:catAx>
        <c:axId val="94610847"/>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Critère</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8657812"/>
        <c:crosses val="autoZero"/>
        <c:auto val="1"/>
        <c:lblAlgn val="ctr"/>
        <c:lblOffset val="100"/>
        <c:noMultiLvlLbl val="0"/>
      </c:catAx>
      <c:valAx>
        <c:axId val="18657812"/>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4610847"/>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_rels/drawing2.xml.rels><?xml version="1.0" encoding="UTF-8"?>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39</xdr:row>
      <xdr:rowOff>0</xdr:rowOff>
    </xdr:from>
    <xdr:to>
      <xdr:col>3</xdr:col>
      <xdr:colOff>24480</xdr:colOff>
      <xdr:row>54</xdr:row>
      <xdr:rowOff>94320</xdr:rowOff>
    </xdr:to>
    <xdr:graphicFrame>
      <xdr:nvGraphicFramePr>
        <xdr:cNvPr id="0" name="Chart 1"/>
        <xdr:cNvGraphicFramePr/>
      </xdr:nvGraphicFramePr>
      <xdr:xfrm>
        <a:off x="0" y="9639360"/>
        <a:ext cx="4535640" cy="295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39</xdr:row>
      <xdr:rowOff>0</xdr:rowOff>
    </xdr:from>
    <xdr:to>
      <xdr:col>10</xdr:col>
      <xdr:colOff>600840</xdr:colOff>
      <xdr:row>54</xdr:row>
      <xdr:rowOff>94320</xdr:rowOff>
    </xdr:to>
    <xdr:graphicFrame>
      <xdr:nvGraphicFramePr>
        <xdr:cNvPr id="1" name="Chart 2"/>
        <xdr:cNvGraphicFramePr/>
      </xdr:nvGraphicFramePr>
      <xdr:xfrm>
        <a:off x="6202800" y="9639360"/>
        <a:ext cx="5111640" cy="2951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39</xdr:row>
      <xdr:rowOff>0</xdr:rowOff>
    </xdr:from>
    <xdr:to>
      <xdr:col>3</xdr:col>
      <xdr:colOff>24480</xdr:colOff>
      <xdr:row>54</xdr:row>
      <xdr:rowOff>94320</xdr:rowOff>
    </xdr:to>
    <xdr:graphicFrame>
      <xdr:nvGraphicFramePr>
        <xdr:cNvPr id="2" name="Chart 1"/>
        <xdr:cNvGraphicFramePr/>
      </xdr:nvGraphicFramePr>
      <xdr:xfrm>
        <a:off x="0" y="9639360"/>
        <a:ext cx="4535640" cy="2951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39</xdr:row>
      <xdr:rowOff>0</xdr:rowOff>
    </xdr:from>
    <xdr:to>
      <xdr:col>10</xdr:col>
      <xdr:colOff>600840</xdr:colOff>
      <xdr:row>54</xdr:row>
      <xdr:rowOff>94320</xdr:rowOff>
    </xdr:to>
    <xdr:graphicFrame>
      <xdr:nvGraphicFramePr>
        <xdr:cNvPr id="3" name="Chart 2"/>
        <xdr:cNvGraphicFramePr/>
      </xdr:nvGraphicFramePr>
      <xdr:xfrm>
        <a:off x="6202800" y="9639360"/>
        <a:ext cx="5111640" cy="2951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57" hidden="false" customHeight="true" outlineLevel="0" collapsed="false">
      <c r="B8" s="4" t="s">
        <v>4</v>
      </c>
    </row>
    <row r="9" customFormat="false" ht="57" hidden="false" customHeight="true" outlineLevel="0" collapsed="false">
      <c r="B9" s="4" t="s">
        <v>5</v>
      </c>
    </row>
    <row r="10" customFormat="false" ht="30" hidden="false" customHeight="true" outlineLevel="0" collapsed="false">
      <c r="B10" s="4" t="s">
        <v>6</v>
      </c>
    </row>
    <row r="11" customFormat="false" ht="43.5"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57" hidden="false" customHeight="true" outlineLevel="0" collapsed="false">
      <c r="B16" s="4" t="s">
        <v>11</v>
      </c>
    </row>
    <row r="18" customFormat="false" ht="19.5" hidden="false" customHeight="true" outlineLevel="0" collapsed="false">
      <c r="B18" s="5" t="s">
        <v>12</v>
      </c>
    </row>
    <row r="19" customFormat="false" ht="84" hidden="false" customHeight="true" outlineLevel="0" collapsed="false">
      <c r="B19" s="4" t="s">
        <v>13</v>
      </c>
    </row>
    <row r="21" customFormat="false" ht="19.5" hidden="false" customHeight="true" outlineLevel="0" collapsed="false">
      <c r="B21" s="5" t="s">
        <v>14</v>
      </c>
    </row>
    <row r="22" customFormat="false" ht="43.5" hidden="false" customHeight="true" outlineLevel="0" collapsed="false">
      <c r="B22" s="4" t="s">
        <v>15</v>
      </c>
    </row>
    <row r="24" customFormat="false" ht="19.5" hidden="false" customHeight="true" outlineLevel="0" collapsed="false">
      <c r="B24" s="5" t="s">
        <v>16</v>
      </c>
    </row>
    <row r="25" customFormat="false" ht="70.5" hidden="false" customHeight="true" outlineLevel="0" collapsed="false">
      <c r="B25" s="4" t="s">
        <v>17</v>
      </c>
    </row>
    <row r="27" customFormat="false" ht="19.5" hidden="false" customHeight="true" outlineLevel="0" collapsed="false">
      <c r="B27" s="5" t="s">
        <v>18</v>
      </c>
    </row>
    <row r="28" customFormat="false" ht="18" hidden="false" customHeight="true" outlineLevel="0" collapsed="false">
      <c r="B28" s="6" t="s">
        <v>19</v>
      </c>
    </row>
    <row r="29" customFormat="false" ht="18" hidden="false" customHeight="true" outlineLevel="0" collapsed="false">
      <c r="B29" s="7" t="s">
        <v>20</v>
      </c>
    </row>
    <row r="30" customFormat="false" ht="18" hidden="false" customHeight="true" outlineLevel="0" collapsed="false">
      <c r="B30" s="8" t="s">
        <v>21</v>
      </c>
    </row>
    <row r="32" customFormat="false" ht="19.5" hidden="false" customHeight="true" outlineLevel="0" collapsed="false">
      <c r="B32" s="5" t="s">
        <v>22</v>
      </c>
    </row>
    <row r="33" customFormat="false" ht="16.5" hidden="false" customHeight="true" outlineLevel="0" collapsed="false">
      <c r="B33" s="4" t="s">
        <v>23</v>
      </c>
    </row>
    <row r="34" customFormat="false" ht="43.5" hidden="false" customHeight="true" outlineLevel="0" collapsed="false">
      <c r="B34" s="4" t="s">
        <v>24</v>
      </c>
    </row>
    <row r="35" customFormat="false" ht="30" hidden="false" customHeight="true" outlineLevel="0" collapsed="false">
      <c r="B35" s="4" t="s">
        <v>25</v>
      </c>
    </row>
    <row r="36" customFormat="false" ht="30" hidden="false" customHeight="true" outlineLevel="0" collapsed="false">
      <c r="B36" s="4" t="s">
        <v>26</v>
      </c>
    </row>
    <row r="37" customFormat="false" ht="16.5" hidden="false" customHeight="true" outlineLevel="0" collapsed="false">
      <c r="B37" s="4" t="s">
        <v>27</v>
      </c>
    </row>
    <row r="39" customFormat="false" ht="19.5" hidden="false" customHeight="true" outlineLevel="0" collapsed="false">
      <c r="B39" s="5" t="s">
        <v>28</v>
      </c>
    </row>
    <row r="40" customFormat="false" ht="16.5" hidden="false" customHeight="true" outlineLevel="0" collapsed="false">
      <c r="B40" s="4" t="s">
        <v>29</v>
      </c>
    </row>
    <row r="42" customFormat="false" ht="43.5" hidden="false" customHeight="true" outlineLevel="0" collapsed="false">
      <c r="B42" s="9" t="s">
        <v>30</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D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3" min="3" style="0" width="38"/>
    <col collapsed="false" customWidth="true" hidden="false" outlineLevel="0" max="4" min="4" style="0" width="70"/>
  </cols>
  <sheetData>
    <row r="1" customFormat="false" ht="21.75" hidden="false" customHeight="true" outlineLevel="0" collapsed="false">
      <c r="A1" s="1" t="s">
        <v>31</v>
      </c>
      <c r="B1" s="2"/>
      <c r="C1" s="2"/>
      <c r="D1" s="2"/>
    </row>
    <row r="2" customFormat="false" ht="25.5" hidden="false" customHeight="true" outlineLevel="0" collapsed="false">
      <c r="A2" s="3" t="s">
        <v>32</v>
      </c>
    </row>
    <row r="3" customFormat="false" ht="15" hidden="false" customHeight="false" outlineLevel="0" collapsed="false">
      <c r="A3" s="10" t="s">
        <v>33</v>
      </c>
    </row>
    <row r="5" customFormat="false" ht="19.5" hidden="false" customHeight="true" outlineLevel="0" collapsed="false">
      <c r="B5" s="11" t="s">
        <v>34</v>
      </c>
      <c r="C5" s="11"/>
      <c r="D5" s="11"/>
    </row>
    <row r="6" customFormat="false" ht="21.75" hidden="false" customHeight="true" outlineLevel="0" collapsed="false">
      <c r="B6" s="12" t="s">
        <v>35</v>
      </c>
      <c r="C6" s="13"/>
      <c r="D6" s="14"/>
    </row>
    <row r="7" customFormat="false" ht="21.75" hidden="false" customHeight="true" outlineLevel="0" collapsed="false">
      <c r="B7" s="12" t="s">
        <v>36</v>
      </c>
      <c r="C7" s="15"/>
      <c r="D7" s="14"/>
    </row>
    <row r="8" customFormat="false" ht="21.75" hidden="false" customHeight="true" outlineLevel="0" collapsed="false">
      <c r="B8" s="12" t="s">
        <v>37</v>
      </c>
      <c r="C8" s="13"/>
      <c r="D8" s="14"/>
    </row>
    <row r="9" customFormat="false" ht="21.75" hidden="false" customHeight="true" outlineLevel="0" collapsed="false">
      <c r="B9" s="12" t="s">
        <v>38</v>
      </c>
      <c r="C9" s="16"/>
      <c r="D9" s="14" t="s">
        <v>39</v>
      </c>
    </row>
    <row r="10" customFormat="false" ht="19.5" hidden="false" customHeight="true" outlineLevel="0" collapsed="false">
      <c r="B10" s="17" t="s">
        <v>40</v>
      </c>
      <c r="C10" s="17"/>
      <c r="D10" s="17"/>
    </row>
    <row r="11" customFormat="false" ht="21.75" hidden="false" customHeight="true" outlineLevel="0" collapsed="false">
      <c r="B11" s="12" t="s">
        <v>41</v>
      </c>
      <c r="C11" s="15"/>
      <c r="D11" s="14" t="s">
        <v>42</v>
      </c>
    </row>
    <row r="12" customFormat="false" ht="21.75" hidden="false" customHeight="true" outlineLevel="0" collapsed="false">
      <c r="B12" s="12" t="s">
        <v>43</v>
      </c>
      <c r="C12" s="15"/>
      <c r="D12" s="14"/>
    </row>
    <row r="13" customFormat="false" ht="21.75" hidden="false" customHeight="true" outlineLevel="0" collapsed="false">
      <c r="B13" s="12" t="s">
        <v>44</v>
      </c>
      <c r="C13" s="15"/>
      <c r="D13" s="14"/>
    </row>
    <row r="14" customFormat="false" ht="21.75" hidden="false" customHeight="true" outlineLevel="0" collapsed="false">
      <c r="B14" s="12" t="s">
        <v>45</v>
      </c>
      <c r="C14" s="15"/>
      <c r="D14" s="14" t="s">
        <v>46</v>
      </c>
    </row>
    <row r="15" customFormat="false" ht="21.75" hidden="false" customHeight="true" outlineLevel="0" collapsed="false">
      <c r="B15" s="12" t="s">
        <v>47</v>
      </c>
      <c r="C15" s="15"/>
      <c r="D15" s="14" t="str">
        <f aca="false">IF(C15="","",IF(OR(AND(C15="Organisme de formation (AF)",C11&lt;&gt;"Oui"),AND(C15="Bilan de compétences (BC)",C12&lt;&gt;"Oui"),AND(C15="VAE",C13&lt;&gt;"Oui"),AND(C15="CFA",C14&lt;&gt;"Oui")),"Attention : cochez Oui pour la catégorie principale ci-dessus.","Catégorie principale cohérente."))</f>
        <v/>
      </c>
    </row>
    <row r="16" customFormat="false" ht="19.5" hidden="false" customHeight="true" outlineLevel="0" collapsed="false">
      <c r="B16" s="11" t="s">
        <v>48</v>
      </c>
      <c r="C16" s="11"/>
      <c r="D16" s="11"/>
    </row>
    <row r="17" customFormat="false" ht="21.75" hidden="false" customHeight="true" outlineLevel="0" collapsed="false">
      <c r="B17" s="12" t="s">
        <v>49</v>
      </c>
      <c r="C17" s="15"/>
      <c r="D17" s="14" t="s">
        <v>50</v>
      </c>
    </row>
    <row r="18" customFormat="false" ht="21.75" hidden="false" customHeight="true" outlineLevel="0" collapsed="false">
      <c r="B18" s="12" t="s">
        <v>51</v>
      </c>
      <c r="C18" s="15"/>
      <c r="D18" s="14" t="s">
        <v>52</v>
      </c>
    </row>
    <row r="19" customFormat="false" ht="28.5" hidden="false" customHeight="true" outlineLevel="0" collapsed="false">
      <c r="B19" s="12" t="s">
        <v>53</v>
      </c>
      <c r="C19" s="15"/>
      <c r="D19" s="14" t="s">
        <v>54</v>
      </c>
    </row>
    <row r="20" customFormat="false" ht="21.75" hidden="false" customHeight="true" outlineLevel="0" collapsed="false">
      <c r="B20" s="12" t="s">
        <v>55</v>
      </c>
      <c r="C20" s="15"/>
      <c r="D20" s="14" t="s">
        <v>56</v>
      </c>
    </row>
    <row r="21" customFormat="false" ht="19.5" hidden="false" customHeight="true" outlineLevel="0" collapsed="false">
      <c r="B21" s="17" t="s">
        <v>57</v>
      </c>
      <c r="C21" s="17"/>
      <c r="D21" s="17"/>
    </row>
    <row r="22" customFormat="false" ht="28.5" hidden="false" customHeight="true" outlineLevel="0" collapsed="false">
      <c r="B22" s="12" t="s">
        <v>58</v>
      </c>
      <c r="C22" s="15"/>
      <c r="D22" s="14" t="s">
        <v>59</v>
      </c>
    </row>
    <row r="23" customFormat="false" ht="28.5" hidden="false" customHeight="true" outlineLevel="0" collapsed="false">
      <c r="B23" s="12" t="s">
        <v>60</v>
      </c>
      <c r="C23" s="15"/>
      <c r="D23" s="14" t="s">
        <v>61</v>
      </c>
    </row>
    <row r="24" customFormat="false" ht="21.75" hidden="false" customHeight="true" outlineLevel="0" collapsed="false">
      <c r="B24" s="12" t="s">
        <v>62</v>
      </c>
      <c r="C24" s="15"/>
      <c r="D24" s="14" t="s">
        <v>63</v>
      </c>
    </row>
    <row r="25" customFormat="false" ht="28.5" hidden="false" customHeight="true" outlineLevel="0" collapsed="false">
      <c r="B25" s="12" t="s">
        <v>64</v>
      </c>
      <c r="C25" s="15"/>
      <c r="D25" s="14" t="s">
        <v>65</v>
      </c>
    </row>
    <row r="27" customFormat="false" ht="19.5" hidden="false" customHeight="true" outlineLevel="0" collapsed="false">
      <c r="B27" s="18" t="s">
        <v>66</v>
      </c>
      <c r="C27" s="18"/>
      <c r="D27" s="18"/>
    </row>
    <row r="28" customFormat="false" ht="28.5" hidden="false" customHeight="true" outlineLevel="0" collapsed="false">
      <c r="B28" s="12" t="s">
        <v>67</v>
      </c>
      <c r="C28" s="19" t="n">
        <f aca="false">COUNTIF(Diagnostic!$J$7:$J$39,"Oui")</f>
        <v>0</v>
      </c>
      <c r="D28" s="14" t="s">
        <v>68</v>
      </c>
    </row>
    <row r="29" customFormat="false" ht="21.75" hidden="false" customHeight="true" outlineLevel="0" collapsed="false">
      <c r="B29" s="12" t="s">
        <v>69</v>
      </c>
      <c r="C29" s="19" t="n">
        <f aca="false">COUNTIFS(Diagnostic!$J$7:$J$39,"Oui",Diagnostic!$G$7:$G$39,"Mineure ou majeure")</f>
        <v>0</v>
      </c>
      <c r="D29" s="14" t="s">
        <v>70</v>
      </c>
    </row>
    <row r="30" customFormat="false" ht="21.75" hidden="false" customHeight="true" outlineLevel="0" collapsed="false">
      <c r="B30" s="12" t="s">
        <v>71</v>
      </c>
      <c r="C30" s="19" t="n">
        <f aca="false">COUNTIFS(Diagnostic!$J$7:$J$39,"Oui",Diagnostic!$G$7:$G$39,"Majeure seulement")</f>
        <v>0</v>
      </c>
      <c r="D30" s="14" t="s">
        <v>72</v>
      </c>
    </row>
  </sheetData>
  <mergeCells count="5">
    <mergeCell ref="B5:D5"/>
    <mergeCell ref="B10:D10"/>
    <mergeCell ref="B16:D16"/>
    <mergeCell ref="B21:D21"/>
    <mergeCell ref="B27:D27"/>
  </mergeCells>
  <conditionalFormatting sqref="D15">
    <cfRule type="expression" priority="2" aboveAverage="0" equalAverage="0" bottom="0" percent="0" rank="0" text="" dxfId="0">
      <formula>LEFT($D$15,9)="Attention"</formula>
    </cfRule>
    <cfRule type="expression" priority="3" aboveAverage="0" equalAverage="0" bottom="0" percent="0" rank="0" text="" dxfId="1">
      <formula>LEFT($D$15,9)="Catégorie"</formula>
    </cfRule>
  </conditionalFormatting>
  <dataValidations count="4">
    <dataValidation allowBlank="true" errorStyle="stop" operator="between" showDropDown="false" showErrorMessage="false" showInputMessage="false" sqref="C11:C14" type="list">
      <formula1>"Oui,Non"</formula1>
      <formula2>0</formula2>
    </dataValidation>
    <dataValidation allowBlank="true" errorStyle="stop" operator="between" showDropDown="false" showErrorMessage="false" showInputMessage="false" sqref="C17:C20" type="list">
      <formula1>"Oui,Non"</formula1>
      <formula2>0</formula2>
    </dataValidation>
    <dataValidation allowBlank="true" errorStyle="stop" operator="between" showDropDown="false" showErrorMessage="false" showInputMessage="false" sqref="C22:C25" type="list">
      <formula1>"Oui,Non"</formula1>
      <formula2>0</formula2>
    </dataValidation>
    <dataValidation allowBlank="true" errorStyle="stop" operator="between" showDropDown="false" showErrorMessage="false" showInputMessage="false" sqref="C15" type="list">
      <formula1>Listes!$A$4:$A$7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R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
    <col collapsed="false" customWidth="true" hidden="false" outlineLevel="0" max="3" min="3" style="0" width="44"/>
    <col collapsed="false" customWidth="true" hidden="false" outlineLevel="0" max="4" min="4" style="0" width="12"/>
    <col collapsed="false" customWidth="true" hidden="false" outlineLevel="0" max="5" min="5" style="0" width="17"/>
    <col collapsed="false" customWidth="true" hidden="false" outlineLevel="0" max="6" min="6" style="0" width="19"/>
    <col collapsed="false" customWidth="true" hidden="false" outlineLevel="0" max="7" min="7" style="0" width="15"/>
    <col collapsed="false" customWidth="true" hidden="false" outlineLevel="0" max="8" min="8" style="0" width="9"/>
    <col collapsed="false" customWidth="true" hidden="false" outlineLevel="0" max="9" min="9" style="0" width="58"/>
    <col collapsed="false" customWidth="true" hidden="false" outlineLevel="0" max="10" min="10" style="0" width="12"/>
    <col collapsed="false" customWidth="true" hidden="false" outlineLevel="0" max="11" min="11" style="0" width="14"/>
    <col collapsed="false" customWidth="true" hidden="false" outlineLevel="0" max="12" min="12" style="0" width="15"/>
    <col collapsed="false" customWidth="true" hidden="false" outlineLevel="0" max="15" min="13" style="0" width="34"/>
    <col collapsed="false" customWidth="true" hidden="false" outlineLevel="0" max="16" min="16" style="0" width="18"/>
    <col collapsed="false" customWidth="true" hidden="false" outlineLevel="0" max="17" min="17" style="0" width="12"/>
    <col collapsed="false" customWidth="true" hidden="true" outlineLevel="0" max="18" min="18" style="0" width="8"/>
  </cols>
  <sheetData>
    <row r="1" customFormat="false" ht="21.75" hidden="false" customHeight="true" outlineLevel="0" collapsed="false">
      <c r="A1" s="1" t="s">
        <v>73</v>
      </c>
      <c r="B1" s="2"/>
      <c r="C1" s="2"/>
      <c r="D1" s="2"/>
      <c r="E1" s="2"/>
      <c r="F1" s="2"/>
      <c r="G1" s="2"/>
      <c r="H1" s="2"/>
      <c r="I1" s="2"/>
      <c r="J1" s="2"/>
      <c r="K1" s="2"/>
      <c r="L1" s="2"/>
      <c r="M1" s="2"/>
      <c r="N1" s="2"/>
      <c r="O1" s="2"/>
      <c r="P1" s="2"/>
      <c r="Q1" s="2"/>
    </row>
    <row r="2" customFormat="false" ht="25.5" hidden="false" customHeight="true" outlineLevel="0" collapsed="false">
      <c r="A2" s="3" t="s">
        <v>74</v>
      </c>
    </row>
    <row r="3" customFormat="false" ht="15" hidden="false" customHeight="false" outlineLevel="0" collapsed="false">
      <c r="A3" s="10" t="s">
        <v>75</v>
      </c>
    </row>
    <row r="4" customFormat="false" ht="21.75" hidden="false" customHeight="true" outlineLevel="0" collapsed="false">
      <c r="A4" s="20" t="str">
        <f aca="false">IF(COUNTIF(Profil!$C$11:$C$14,"Oui")=0,"Renseignez d’abord l’onglet Profil : sans catégorie d’actions cochée, aucun indicateur n’est marqué applicable.","Applicables à votre profil : "&amp;COUNTIF($J$7:$J$39,"Oui")&amp;" sur "&amp;COUNTA($B$7:$B$39)&amp;"   ·   évalués : "&amp;(COUNTIFS($J$7:$J$39,"Oui",$K$7:$K$39,"Conforme")+COUNTIFS($J$7:$J$39,"Oui",$K$7:$K$39,"Partiel")+COUNTIFS($J$7:$J$39,"Oui",$K$7:$K$39,"Non conforme"))&amp;"   ·   points à risque de non-conformité majeure : "&amp;COUNTIF($L$7:$L$39,"Majeure probable"))</f>
        <v>Renseignez d’abord l’onglet Profil : sans catégorie d’actions cochée, aucun indicateur n’est marqué applicable.</v>
      </c>
      <c r="B4" s="20"/>
      <c r="C4" s="20"/>
      <c r="D4" s="20"/>
      <c r="E4" s="20"/>
      <c r="F4" s="20"/>
      <c r="G4" s="20"/>
      <c r="H4" s="20"/>
      <c r="I4" s="20"/>
      <c r="J4" s="20"/>
      <c r="K4" s="20"/>
    </row>
    <row r="5" customFormat="false" ht="19.5" hidden="false" customHeight="true" outlineLevel="0" collapsed="false">
      <c r="A5" s="11" t="s">
        <v>76</v>
      </c>
      <c r="B5" s="11"/>
      <c r="C5" s="11"/>
      <c r="D5" s="11"/>
      <c r="E5" s="11"/>
      <c r="F5" s="11"/>
      <c r="G5" s="11"/>
      <c r="H5" s="11"/>
      <c r="I5" s="17" t="s">
        <v>77</v>
      </c>
      <c r="J5" s="11" t="s">
        <v>78</v>
      </c>
      <c r="K5" s="11"/>
      <c r="L5" s="11"/>
      <c r="M5" s="17" t="s">
        <v>79</v>
      </c>
      <c r="N5" s="17"/>
      <c r="O5" s="17"/>
      <c r="P5" s="17"/>
      <c r="Q5" s="17"/>
    </row>
    <row r="6" customFormat="false" ht="48" hidden="false" customHeight="true" outlineLevel="0" collapsed="false">
      <c r="A6" s="21" t="s">
        <v>80</v>
      </c>
      <c r="B6" s="21" t="s">
        <v>81</v>
      </c>
      <c r="C6" s="21" t="s">
        <v>82</v>
      </c>
      <c r="D6" s="21" t="s">
        <v>83</v>
      </c>
      <c r="E6" s="21" t="s">
        <v>84</v>
      </c>
      <c r="F6" s="21" t="s">
        <v>85</v>
      </c>
      <c r="G6" s="21" t="s">
        <v>86</v>
      </c>
      <c r="H6" s="21" t="s">
        <v>58</v>
      </c>
      <c r="I6" s="21" t="s">
        <v>87</v>
      </c>
      <c r="J6" s="21" t="s">
        <v>88</v>
      </c>
      <c r="K6" s="21" t="s">
        <v>89</v>
      </c>
      <c r="L6" s="21" t="s">
        <v>90</v>
      </c>
      <c r="M6" s="21" t="s">
        <v>91</v>
      </c>
      <c r="N6" s="21" t="s">
        <v>92</v>
      </c>
      <c r="O6" s="21" t="s">
        <v>93</v>
      </c>
      <c r="P6" s="21" t="s">
        <v>94</v>
      </c>
      <c r="Q6" s="21" t="s">
        <v>95</v>
      </c>
      <c r="R6" s="21" t="s">
        <v>96</v>
      </c>
    </row>
    <row r="7" customFormat="false" ht="63" hidden="false" customHeight="true" outlineLevel="0" collapsed="false">
      <c r="A7" s="22" t="n">
        <v>1</v>
      </c>
      <c r="B7" s="22" t="n">
        <v>1</v>
      </c>
      <c r="C7" s="23" t="s">
        <v>97</v>
      </c>
      <c r="D7" s="22" t="s">
        <v>98</v>
      </c>
      <c r="E7" s="22" t="s">
        <v>99</v>
      </c>
      <c r="F7" s="24"/>
      <c r="G7" s="22" t="s">
        <v>100</v>
      </c>
      <c r="H7" s="22"/>
      <c r="I7" s="24" t="s">
        <v>101</v>
      </c>
      <c r="J7" s="25" t="str">
        <f aca="false">IF(COUNTIF(Profil!$C$11:$C$14,"Oui")=0,"",IF(AND(OR(AND(ISNUMBER(SEARCH("CFA",$E7)),Profil!$C$14="Oui"),AND(ISNUMBER(SEARCH("AF",$E7)),Profil!$C$11="Oui"),AND(ISNUMBER(SEARCH("BC",$E7)),Profil!$C$12="Oui"),AND(ISNUMBER(SEARCH("VAE",$E7)),Profil!$C$13="Oui")),IFERROR(INDEX(Profil!$C$17:$C$20,MATCH($F7,Profil!$B$17:$B$20,0)),"")&lt;&gt;"Non"),"Oui","Non"))</f>
        <v/>
      </c>
      <c r="K7" s="26"/>
      <c r="L7" s="25" t="str">
        <f aca="false">IF(OR($J7&lt;&gt;"Oui",K7="",K7="Sans objet"),"",IF(K7="Conforme","Aucun écart",IF(OR(K7="Non conforme",G7="Majeure seulement"),"Majeure probable","Mineure probable")))</f>
        <v/>
      </c>
      <c r="M7" s="27"/>
      <c r="N7" s="27"/>
      <c r="O7" s="27"/>
      <c r="P7" s="27"/>
      <c r="Q7" s="28"/>
      <c r="R7" s="25" t="str">
        <f aca="false">IF(L7="Majeure probable",COUNTIF(L$7:L7,"Majeure probable"),"")</f>
        <v/>
      </c>
    </row>
    <row r="8" customFormat="false" ht="39.75" hidden="false" customHeight="true" outlineLevel="0" collapsed="false">
      <c r="A8" s="22" t="n">
        <v>1</v>
      </c>
      <c r="B8" s="22" t="n">
        <v>2</v>
      </c>
      <c r="C8" s="23" t="s">
        <v>102</v>
      </c>
      <c r="D8" s="22" t="s">
        <v>98</v>
      </c>
      <c r="E8" s="22" t="s">
        <v>99</v>
      </c>
      <c r="F8" s="24"/>
      <c r="G8" s="22" t="s">
        <v>100</v>
      </c>
      <c r="H8" s="22" t="s">
        <v>103</v>
      </c>
      <c r="I8" s="24" t="s">
        <v>104</v>
      </c>
      <c r="J8" s="25" t="str">
        <f aca="false">IF(COUNTIF(Profil!$C$11:$C$14,"Oui")=0,"",IF(AND(OR(AND(ISNUMBER(SEARCH("CFA",$E8)),Profil!$C$14="Oui"),AND(ISNUMBER(SEARCH("AF",$E8)),Profil!$C$11="Oui"),AND(ISNUMBER(SEARCH("BC",$E8)),Profil!$C$12="Oui"),AND(ISNUMBER(SEARCH("VAE",$E8)),Profil!$C$13="Oui")),IFERROR(INDEX(Profil!$C$17:$C$20,MATCH($F8,Profil!$B$17:$B$20,0)),"")&lt;&gt;"Non"),"Oui","Non"))</f>
        <v/>
      </c>
      <c r="K8" s="26"/>
      <c r="L8" s="25" t="str">
        <f aca="false">IF(OR($J8&lt;&gt;"Oui",K8="",K8="Sans objet"),"",IF(K8="Conforme","Aucun écart",IF(OR(K8="Non conforme",G8="Majeure seulement"),"Majeure probable","Mineure probable")))</f>
        <v/>
      </c>
      <c r="M8" s="27"/>
      <c r="N8" s="27"/>
      <c r="O8" s="27"/>
      <c r="P8" s="27"/>
      <c r="Q8" s="28"/>
      <c r="R8" s="25" t="str">
        <f aca="false">IF(L8="Majeure probable",COUNTIF(L$7:L8,"Majeure probable"),"")</f>
        <v/>
      </c>
    </row>
    <row r="9" customFormat="false" ht="51" hidden="false" customHeight="true" outlineLevel="0" collapsed="false">
      <c r="A9" s="22" t="n">
        <v>1</v>
      </c>
      <c r="B9" s="22" t="n">
        <v>3</v>
      </c>
      <c r="C9" s="23" t="s">
        <v>105</v>
      </c>
      <c r="D9" s="22" t="s">
        <v>98</v>
      </c>
      <c r="E9" s="22" t="s">
        <v>106</v>
      </c>
      <c r="F9" s="24" t="s">
        <v>49</v>
      </c>
      <c r="G9" s="22" t="s">
        <v>100</v>
      </c>
      <c r="H9" s="22" t="s">
        <v>103</v>
      </c>
      <c r="I9" s="24" t="s">
        <v>107</v>
      </c>
      <c r="J9" s="25" t="str">
        <f aca="false">IF(COUNTIF(Profil!$C$11:$C$14,"Oui")=0,"",IF(AND(OR(AND(ISNUMBER(SEARCH("CFA",$E9)),Profil!$C$14="Oui"),AND(ISNUMBER(SEARCH("AF",$E9)),Profil!$C$11="Oui"),AND(ISNUMBER(SEARCH("BC",$E9)),Profil!$C$12="Oui"),AND(ISNUMBER(SEARCH("VAE",$E9)),Profil!$C$13="Oui")),IFERROR(INDEX(Profil!$C$17:$C$20,MATCH($F9,Profil!$B$17:$B$20,0)),"")&lt;&gt;"Non"),"Oui","Non"))</f>
        <v/>
      </c>
      <c r="K9" s="26"/>
      <c r="L9" s="25" t="str">
        <f aca="false">IF(OR($J9&lt;&gt;"Oui",K9="",K9="Sans objet"),"",IF(K9="Conforme","Aucun écart",IF(OR(K9="Non conforme",G9="Majeure seulement"),"Majeure probable","Mineure probable")))</f>
        <v/>
      </c>
      <c r="M9" s="27"/>
      <c r="N9" s="27"/>
      <c r="O9" s="27"/>
      <c r="P9" s="27"/>
      <c r="Q9" s="28"/>
      <c r="R9" s="25" t="str">
        <f aca="false">IF(L9="Majeure probable",COUNTIF(L$7:L9,"Majeure probable"),"")</f>
        <v/>
      </c>
    </row>
    <row r="10" customFormat="false" ht="39.75" hidden="false" customHeight="true" outlineLevel="0" collapsed="false">
      <c r="A10" s="29" t="n">
        <v>2</v>
      </c>
      <c r="B10" s="29" t="n">
        <v>4</v>
      </c>
      <c r="C10" s="30" t="s">
        <v>108</v>
      </c>
      <c r="D10" s="29" t="s">
        <v>109</v>
      </c>
      <c r="E10" s="29" t="s">
        <v>99</v>
      </c>
      <c r="F10" s="31"/>
      <c r="G10" s="29" t="s">
        <v>110</v>
      </c>
      <c r="H10" s="29"/>
      <c r="I10" s="31" t="s">
        <v>111</v>
      </c>
      <c r="J10" s="32" t="str">
        <f aca="false">IF(COUNTIF(Profil!$C$11:$C$14,"Oui")=0,"",IF(AND(OR(AND(ISNUMBER(SEARCH("CFA",$E10)),Profil!$C$14="Oui"),AND(ISNUMBER(SEARCH("AF",$E10)),Profil!$C$11="Oui"),AND(ISNUMBER(SEARCH("BC",$E10)),Profil!$C$12="Oui"),AND(ISNUMBER(SEARCH("VAE",$E10)),Profil!$C$13="Oui")),IFERROR(INDEX(Profil!$C$17:$C$20,MATCH($F10,Profil!$B$17:$B$20,0)),"")&lt;&gt;"Non"),"Oui","Non"))</f>
        <v/>
      </c>
      <c r="K10" s="33"/>
      <c r="L10" s="32" t="str">
        <f aca="false">IF(OR($J10&lt;&gt;"Oui",K10="",K10="Sans objet"),"",IF(K10="Conforme","Aucun écart",IF(OR(K10="Non conforme",G10="Majeure seulement"),"Majeure probable","Mineure probable")))</f>
        <v/>
      </c>
      <c r="M10" s="34"/>
      <c r="N10" s="34"/>
      <c r="O10" s="34"/>
      <c r="P10" s="34"/>
      <c r="Q10" s="35"/>
      <c r="R10" s="25" t="str">
        <f aca="false">IF(L10="Majeure probable",COUNTIF(L$7:L10,"Majeure probable"),"")</f>
        <v/>
      </c>
    </row>
    <row r="11" customFormat="false" ht="33.75" hidden="false" customHeight="true" outlineLevel="0" collapsed="false">
      <c r="A11" s="22" t="n">
        <v>2</v>
      </c>
      <c r="B11" s="22" t="n">
        <v>5</v>
      </c>
      <c r="C11" s="23" t="s">
        <v>112</v>
      </c>
      <c r="D11" s="22" t="s">
        <v>109</v>
      </c>
      <c r="E11" s="22" t="s">
        <v>99</v>
      </c>
      <c r="F11" s="24"/>
      <c r="G11" s="22" t="s">
        <v>110</v>
      </c>
      <c r="H11" s="22"/>
      <c r="I11" s="24" t="s">
        <v>113</v>
      </c>
      <c r="J11" s="25" t="str">
        <f aca="false">IF(COUNTIF(Profil!$C$11:$C$14,"Oui")=0,"",IF(AND(OR(AND(ISNUMBER(SEARCH("CFA",$E11)),Profil!$C$14="Oui"),AND(ISNUMBER(SEARCH("AF",$E11)),Profil!$C$11="Oui"),AND(ISNUMBER(SEARCH("BC",$E11)),Profil!$C$12="Oui"),AND(ISNUMBER(SEARCH("VAE",$E11)),Profil!$C$13="Oui")),IFERROR(INDEX(Profil!$C$17:$C$20,MATCH($F11,Profil!$B$17:$B$20,0)),"")&lt;&gt;"Non"),"Oui","Non"))</f>
        <v/>
      </c>
      <c r="K11" s="26"/>
      <c r="L11" s="25" t="str">
        <f aca="false">IF(OR($J11&lt;&gt;"Oui",K11="",K11="Sans objet"),"",IF(K11="Conforme","Aucun écart",IF(OR(K11="Non conforme",G11="Majeure seulement"),"Majeure probable","Mineure probable")))</f>
        <v/>
      </c>
      <c r="M11" s="27"/>
      <c r="N11" s="27"/>
      <c r="O11" s="27"/>
      <c r="P11" s="27"/>
      <c r="Q11" s="28"/>
      <c r="R11" s="25" t="str">
        <f aca="false">IF(L11="Majeure probable",COUNTIF(L$7:L11,"Majeure probable"),"")</f>
        <v/>
      </c>
    </row>
    <row r="12" customFormat="false" ht="33.75" hidden="false" customHeight="true" outlineLevel="0" collapsed="false">
      <c r="A12" s="22" t="n">
        <v>2</v>
      </c>
      <c r="B12" s="22" t="n">
        <v>6</v>
      </c>
      <c r="C12" s="23" t="s">
        <v>114</v>
      </c>
      <c r="D12" s="22" t="s">
        <v>109</v>
      </c>
      <c r="E12" s="22" t="s">
        <v>99</v>
      </c>
      <c r="F12" s="24"/>
      <c r="G12" s="22" t="s">
        <v>110</v>
      </c>
      <c r="H12" s="22"/>
      <c r="I12" s="24" t="s">
        <v>115</v>
      </c>
      <c r="J12" s="25" t="str">
        <f aca="false">IF(COUNTIF(Profil!$C$11:$C$14,"Oui")=0,"",IF(AND(OR(AND(ISNUMBER(SEARCH("CFA",$E12)),Profil!$C$14="Oui"),AND(ISNUMBER(SEARCH("AF",$E12)),Profil!$C$11="Oui"),AND(ISNUMBER(SEARCH("BC",$E12)),Profil!$C$12="Oui"),AND(ISNUMBER(SEARCH("VAE",$E12)),Profil!$C$13="Oui")),IFERROR(INDEX(Profil!$C$17:$C$20,MATCH($F12,Profil!$B$17:$B$20,0)),"")&lt;&gt;"Non"),"Oui","Non"))</f>
        <v/>
      </c>
      <c r="K12" s="26"/>
      <c r="L12" s="25" t="str">
        <f aca="false">IF(OR($J12&lt;&gt;"Oui",K12="",K12="Sans objet"),"",IF(K12="Conforme","Aucun écart",IF(OR(K12="Non conforme",G12="Majeure seulement"),"Majeure probable","Mineure probable")))</f>
        <v/>
      </c>
      <c r="M12" s="27"/>
      <c r="N12" s="27"/>
      <c r="O12" s="27"/>
      <c r="P12" s="27"/>
      <c r="Q12" s="28"/>
      <c r="R12" s="25" t="str">
        <f aca="false">IF(L12="Majeure probable",COUNTIF(L$7:L12,"Majeure probable"),"")</f>
        <v/>
      </c>
    </row>
    <row r="13" customFormat="false" ht="39.75" hidden="false" customHeight="true" outlineLevel="0" collapsed="false">
      <c r="A13" s="22" t="n">
        <v>2</v>
      </c>
      <c r="B13" s="22" t="n">
        <v>7</v>
      </c>
      <c r="C13" s="23" t="s">
        <v>116</v>
      </c>
      <c r="D13" s="22" t="s">
        <v>98</v>
      </c>
      <c r="E13" s="22" t="s">
        <v>117</v>
      </c>
      <c r="F13" s="24" t="s">
        <v>49</v>
      </c>
      <c r="G13" s="22" t="s">
        <v>110</v>
      </c>
      <c r="H13" s="22"/>
      <c r="I13" s="24" t="s">
        <v>118</v>
      </c>
      <c r="J13" s="25" t="str">
        <f aca="false">IF(COUNTIF(Profil!$C$11:$C$14,"Oui")=0,"",IF(AND(OR(AND(ISNUMBER(SEARCH("CFA",$E13)),Profil!$C$14="Oui"),AND(ISNUMBER(SEARCH("AF",$E13)),Profil!$C$11="Oui"),AND(ISNUMBER(SEARCH("BC",$E13)),Profil!$C$12="Oui"),AND(ISNUMBER(SEARCH("VAE",$E13)),Profil!$C$13="Oui")),IFERROR(INDEX(Profil!$C$17:$C$20,MATCH($F13,Profil!$B$17:$B$20,0)),"")&lt;&gt;"Non"),"Oui","Non"))</f>
        <v/>
      </c>
      <c r="K13" s="26"/>
      <c r="L13" s="25" t="str">
        <f aca="false">IF(OR($J13&lt;&gt;"Oui",K13="",K13="Sans objet"),"",IF(K13="Conforme","Aucun écart",IF(OR(K13="Non conforme",G13="Majeure seulement"),"Majeure probable","Mineure probable")))</f>
        <v/>
      </c>
      <c r="M13" s="27"/>
      <c r="N13" s="27"/>
      <c r="O13" s="27"/>
      <c r="P13" s="27"/>
      <c r="Q13" s="28"/>
      <c r="R13" s="25" t="str">
        <f aca="false">IF(L13="Majeure probable",COUNTIF(L$7:L13,"Majeure probable"),"")</f>
        <v/>
      </c>
    </row>
    <row r="14" customFormat="false" ht="39.75" hidden="false" customHeight="true" outlineLevel="0" collapsed="false">
      <c r="A14" s="22" t="n">
        <v>2</v>
      </c>
      <c r="B14" s="22" t="n">
        <v>8</v>
      </c>
      <c r="C14" s="23" t="s">
        <v>119</v>
      </c>
      <c r="D14" s="22" t="s">
        <v>109</v>
      </c>
      <c r="E14" s="22" t="s">
        <v>99</v>
      </c>
      <c r="F14" s="24"/>
      <c r="G14" s="22" t="s">
        <v>100</v>
      </c>
      <c r="H14" s="22"/>
      <c r="I14" s="24" t="s">
        <v>120</v>
      </c>
      <c r="J14" s="25" t="str">
        <f aca="false">IF(COUNTIF(Profil!$C$11:$C$14,"Oui")=0,"",IF(AND(OR(AND(ISNUMBER(SEARCH("CFA",$E14)),Profil!$C$14="Oui"),AND(ISNUMBER(SEARCH("AF",$E14)),Profil!$C$11="Oui"),AND(ISNUMBER(SEARCH("BC",$E14)),Profil!$C$12="Oui"),AND(ISNUMBER(SEARCH("VAE",$E14)),Profil!$C$13="Oui")),IFERROR(INDEX(Profil!$C$17:$C$20,MATCH($F14,Profil!$B$17:$B$20,0)),"")&lt;&gt;"Non"),"Oui","Non"))</f>
        <v/>
      </c>
      <c r="K14" s="26"/>
      <c r="L14" s="25" t="str">
        <f aca="false">IF(OR($J14&lt;&gt;"Oui",K14="",K14="Sans objet"),"",IF(K14="Conforme","Aucun écart",IF(OR(K14="Non conforme",G14="Majeure seulement"),"Majeure probable","Mineure probable")))</f>
        <v/>
      </c>
      <c r="M14" s="27"/>
      <c r="N14" s="27"/>
      <c r="O14" s="27"/>
      <c r="P14" s="27"/>
      <c r="Q14" s="28"/>
      <c r="R14" s="25" t="str">
        <f aca="false">IF(L14="Majeure probable",COUNTIF(L$7:L14,"Majeure probable"),"")</f>
        <v/>
      </c>
    </row>
    <row r="15" customFormat="false" ht="39.75" hidden="false" customHeight="true" outlineLevel="0" collapsed="false">
      <c r="A15" s="29" t="n">
        <v>3</v>
      </c>
      <c r="B15" s="29" t="n">
        <v>9</v>
      </c>
      <c r="C15" s="30" t="s">
        <v>121</v>
      </c>
      <c r="D15" s="29" t="s">
        <v>109</v>
      </c>
      <c r="E15" s="29" t="s">
        <v>99</v>
      </c>
      <c r="F15" s="31"/>
      <c r="G15" s="29" t="s">
        <v>100</v>
      </c>
      <c r="H15" s="29"/>
      <c r="I15" s="31" t="s">
        <v>122</v>
      </c>
      <c r="J15" s="32" t="str">
        <f aca="false">IF(COUNTIF(Profil!$C$11:$C$14,"Oui")=0,"",IF(AND(OR(AND(ISNUMBER(SEARCH("CFA",$E15)),Profil!$C$14="Oui"),AND(ISNUMBER(SEARCH("AF",$E15)),Profil!$C$11="Oui"),AND(ISNUMBER(SEARCH("BC",$E15)),Profil!$C$12="Oui"),AND(ISNUMBER(SEARCH("VAE",$E15)),Profil!$C$13="Oui")),IFERROR(INDEX(Profil!$C$17:$C$20,MATCH($F15,Profil!$B$17:$B$20,0)),"")&lt;&gt;"Non"),"Oui","Non"))</f>
        <v/>
      </c>
      <c r="K15" s="33"/>
      <c r="L15" s="32" t="str">
        <f aca="false">IF(OR($J15&lt;&gt;"Oui",K15="",K15="Sans objet"),"",IF(K15="Conforme","Aucun écart",IF(OR(K15="Non conforme",G15="Majeure seulement"),"Majeure probable","Mineure probable")))</f>
        <v/>
      </c>
      <c r="M15" s="34"/>
      <c r="N15" s="34"/>
      <c r="O15" s="34"/>
      <c r="P15" s="34"/>
      <c r="Q15" s="35"/>
      <c r="R15" s="25" t="str">
        <f aca="false">IF(L15="Majeure probable",COUNTIF(L$7:L15,"Majeure probable"),"")</f>
        <v/>
      </c>
    </row>
    <row r="16" customFormat="false" ht="33.75" hidden="false" customHeight="true" outlineLevel="0" collapsed="false">
      <c r="A16" s="22" t="n">
        <v>3</v>
      </c>
      <c r="B16" s="22" t="n">
        <v>10</v>
      </c>
      <c r="C16" s="23" t="s">
        <v>123</v>
      </c>
      <c r="D16" s="22" t="s">
        <v>109</v>
      </c>
      <c r="E16" s="22" t="s">
        <v>99</v>
      </c>
      <c r="F16" s="24"/>
      <c r="G16" s="22" t="s">
        <v>110</v>
      </c>
      <c r="H16" s="22"/>
      <c r="I16" s="24" t="s">
        <v>124</v>
      </c>
      <c r="J16" s="25" t="str">
        <f aca="false">IF(COUNTIF(Profil!$C$11:$C$14,"Oui")=0,"",IF(AND(OR(AND(ISNUMBER(SEARCH("CFA",$E16)),Profil!$C$14="Oui"),AND(ISNUMBER(SEARCH("AF",$E16)),Profil!$C$11="Oui"),AND(ISNUMBER(SEARCH("BC",$E16)),Profil!$C$12="Oui"),AND(ISNUMBER(SEARCH("VAE",$E16)),Profil!$C$13="Oui")),IFERROR(INDEX(Profil!$C$17:$C$20,MATCH($F16,Profil!$B$17:$B$20,0)),"")&lt;&gt;"Non"),"Oui","Non"))</f>
        <v/>
      </c>
      <c r="K16" s="26"/>
      <c r="L16" s="25" t="str">
        <f aca="false">IF(OR($J16&lt;&gt;"Oui",K16="",K16="Sans objet"),"",IF(K16="Conforme","Aucun écart",IF(OR(K16="Non conforme",G16="Majeure seulement"),"Majeure probable","Mineure probable")))</f>
        <v/>
      </c>
      <c r="M16" s="27"/>
      <c r="N16" s="27"/>
      <c r="O16" s="27"/>
      <c r="P16" s="27"/>
      <c r="Q16" s="28"/>
      <c r="R16" s="25" t="str">
        <f aca="false">IF(L16="Majeure probable",COUNTIF(L$7:L16,"Majeure probable"),"")</f>
        <v/>
      </c>
    </row>
    <row r="17" customFormat="false" ht="33.75" hidden="false" customHeight="true" outlineLevel="0" collapsed="false">
      <c r="A17" s="22" t="n">
        <v>3</v>
      </c>
      <c r="B17" s="22" t="n">
        <v>11</v>
      </c>
      <c r="C17" s="23" t="s">
        <v>125</v>
      </c>
      <c r="D17" s="22" t="s">
        <v>109</v>
      </c>
      <c r="E17" s="22" t="s">
        <v>99</v>
      </c>
      <c r="F17" s="24"/>
      <c r="G17" s="22" t="s">
        <v>110</v>
      </c>
      <c r="H17" s="22" t="s">
        <v>103</v>
      </c>
      <c r="I17" s="24" t="s">
        <v>126</v>
      </c>
      <c r="J17" s="25" t="str">
        <f aca="false">IF(COUNTIF(Profil!$C$11:$C$14,"Oui")=0,"",IF(AND(OR(AND(ISNUMBER(SEARCH("CFA",$E17)),Profil!$C$14="Oui"),AND(ISNUMBER(SEARCH("AF",$E17)),Profil!$C$11="Oui"),AND(ISNUMBER(SEARCH("BC",$E17)),Profil!$C$12="Oui"),AND(ISNUMBER(SEARCH("VAE",$E17)),Profil!$C$13="Oui")),IFERROR(INDEX(Profil!$C$17:$C$20,MATCH($F17,Profil!$B$17:$B$20,0)),"")&lt;&gt;"Non"),"Oui","Non"))</f>
        <v/>
      </c>
      <c r="K17" s="26"/>
      <c r="L17" s="25" t="str">
        <f aca="false">IF(OR($J17&lt;&gt;"Oui",K17="",K17="Sans objet"),"",IF(K17="Conforme","Aucun écart",IF(OR(K17="Non conforme",G17="Majeure seulement"),"Majeure probable","Mineure probable")))</f>
        <v/>
      </c>
      <c r="M17" s="27"/>
      <c r="N17" s="27"/>
      <c r="O17" s="27"/>
      <c r="P17" s="27"/>
      <c r="Q17" s="28"/>
      <c r="R17" s="25" t="str">
        <f aca="false">IF(L17="Majeure probable",COUNTIF(L$7:L17,"Majeure probable"),"")</f>
        <v/>
      </c>
    </row>
    <row r="18" customFormat="false" ht="51" hidden="false" customHeight="true" outlineLevel="0" collapsed="false">
      <c r="A18" s="22" t="n">
        <v>3</v>
      </c>
      <c r="B18" s="22" t="n">
        <v>12</v>
      </c>
      <c r="C18" s="23" t="s">
        <v>127</v>
      </c>
      <c r="D18" s="22" t="s">
        <v>98</v>
      </c>
      <c r="E18" s="22" t="s">
        <v>99</v>
      </c>
      <c r="F18" s="24"/>
      <c r="G18" s="22" t="s">
        <v>100</v>
      </c>
      <c r="H18" s="22"/>
      <c r="I18" s="24" t="s">
        <v>128</v>
      </c>
      <c r="J18" s="25" t="str">
        <f aca="false">IF(COUNTIF(Profil!$C$11:$C$14,"Oui")=0,"",IF(AND(OR(AND(ISNUMBER(SEARCH("CFA",$E18)),Profil!$C$14="Oui"),AND(ISNUMBER(SEARCH("AF",$E18)),Profil!$C$11="Oui"),AND(ISNUMBER(SEARCH("BC",$E18)),Profil!$C$12="Oui"),AND(ISNUMBER(SEARCH("VAE",$E18)),Profil!$C$13="Oui")),IFERROR(INDEX(Profil!$C$17:$C$20,MATCH($F18,Profil!$B$17:$B$20,0)),"")&lt;&gt;"Non"),"Oui","Non"))</f>
        <v/>
      </c>
      <c r="K18" s="26"/>
      <c r="L18" s="25" t="str">
        <f aca="false">IF(OR($J18&lt;&gt;"Oui",K18="",K18="Sans objet"),"",IF(K18="Conforme","Aucun écart",IF(OR(K18="Non conforme",G18="Majeure seulement"),"Majeure probable","Mineure probable")))</f>
        <v/>
      </c>
      <c r="M18" s="27"/>
      <c r="N18" s="27"/>
      <c r="O18" s="27"/>
      <c r="P18" s="27"/>
      <c r="Q18" s="28"/>
      <c r="R18" s="25" t="str">
        <f aca="false">IF(L18="Majeure probable",COUNTIF(L$7:L18,"Majeure probable"),"")</f>
        <v/>
      </c>
    </row>
    <row r="19" customFormat="false" ht="39.75" hidden="false" customHeight="true" outlineLevel="0" collapsed="false">
      <c r="A19" s="22" t="n">
        <v>3</v>
      </c>
      <c r="B19" s="22" t="n">
        <v>13</v>
      </c>
      <c r="C19" s="23" t="s">
        <v>129</v>
      </c>
      <c r="D19" s="22" t="s">
        <v>109</v>
      </c>
      <c r="E19" s="22" t="s">
        <v>117</v>
      </c>
      <c r="F19" s="24" t="s">
        <v>51</v>
      </c>
      <c r="G19" s="22" t="s">
        <v>100</v>
      </c>
      <c r="H19" s="22" t="s">
        <v>103</v>
      </c>
      <c r="I19" s="24" t="s">
        <v>130</v>
      </c>
      <c r="J19" s="25" t="str">
        <f aca="false">IF(COUNTIF(Profil!$C$11:$C$14,"Oui")=0,"",IF(AND(OR(AND(ISNUMBER(SEARCH("CFA",$E19)),Profil!$C$14="Oui"),AND(ISNUMBER(SEARCH("AF",$E19)),Profil!$C$11="Oui"),AND(ISNUMBER(SEARCH("BC",$E19)),Profil!$C$12="Oui"),AND(ISNUMBER(SEARCH("VAE",$E19)),Profil!$C$13="Oui")),IFERROR(INDEX(Profil!$C$17:$C$20,MATCH($F19,Profil!$B$17:$B$20,0)),"")&lt;&gt;"Non"),"Oui","Non"))</f>
        <v/>
      </c>
      <c r="K19" s="26"/>
      <c r="L19" s="25" t="str">
        <f aca="false">IF(OR($J19&lt;&gt;"Oui",K19="",K19="Sans objet"),"",IF(K19="Conforme","Aucun écart",IF(OR(K19="Non conforme",G19="Majeure seulement"),"Majeure probable","Mineure probable")))</f>
        <v/>
      </c>
      <c r="M19" s="27"/>
      <c r="N19" s="27"/>
      <c r="O19" s="27"/>
      <c r="P19" s="27"/>
      <c r="Q19" s="28"/>
      <c r="R19" s="25" t="str">
        <f aca="false">IF(L19="Majeure probable",COUNTIF(L$7:L19,"Majeure probable"),"")</f>
        <v/>
      </c>
    </row>
    <row r="20" customFormat="false" ht="51" hidden="false" customHeight="true" outlineLevel="0" collapsed="false">
      <c r="A20" s="22" t="n">
        <v>3</v>
      </c>
      <c r="B20" s="22" t="n">
        <v>14</v>
      </c>
      <c r="C20" s="23" t="s">
        <v>131</v>
      </c>
      <c r="D20" s="22" t="s">
        <v>98</v>
      </c>
      <c r="E20" s="22" t="s">
        <v>132</v>
      </c>
      <c r="F20" s="24"/>
      <c r="G20" s="22" t="s">
        <v>110</v>
      </c>
      <c r="H20" s="22" t="s">
        <v>103</v>
      </c>
      <c r="I20" s="24" t="s">
        <v>133</v>
      </c>
      <c r="J20" s="25" t="str">
        <f aca="false">IF(COUNTIF(Profil!$C$11:$C$14,"Oui")=0,"",IF(AND(OR(AND(ISNUMBER(SEARCH("CFA",$E20)),Profil!$C$14="Oui"),AND(ISNUMBER(SEARCH("AF",$E20)),Profil!$C$11="Oui"),AND(ISNUMBER(SEARCH("BC",$E20)),Profil!$C$12="Oui"),AND(ISNUMBER(SEARCH("VAE",$E20)),Profil!$C$13="Oui")),IFERROR(INDEX(Profil!$C$17:$C$20,MATCH($F20,Profil!$B$17:$B$20,0)),"")&lt;&gt;"Non"),"Oui","Non"))</f>
        <v/>
      </c>
      <c r="K20" s="26"/>
      <c r="L20" s="25" t="str">
        <f aca="false">IF(OR($J20&lt;&gt;"Oui",K20="",K20="Sans objet"),"",IF(K20="Conforme","Aucun écart",IF(OR(K20="Non conforme",G20="Majeure seulement"),"Majeure probable","Mineure probable")))</f>
        <v/>
      </c>
      <c r="M20" s="27"/>
      <c r="N20" s="27"/>
      <c r="O20" s="27"/>
      <c r="P20" s="27"/>
      <c r="Q20" s="28"/>
      <c r="R20" s="25" t="str">
        <f aca="false">IF(L20="Majeure probable",COUNTIF(L$7:L20,"Majeure probable"),"")</f>
        <v/>
      </c>
    </row>
    <row r="21" customFormat="false" ht="51" hidden="false" customHeight="true" outlineLevel="0" collapsed="false">
      <c r="A21" s="22" t="n">
        <v>3</v>
      </c>
      <c r="B21" s="22" t="n">
        <v>15</v>
      </c>
      <c r="C21" s="23" t="s">
        <v>134</v>
      </c>
      <c r="D21" s="22" t="s">
        <v>98</v>
      </c>
      <c r="E21" s="22" t="s">
        <v>132</v>
      </c>
      <c r="F21" s="24"/>
      <c r="G21" s="22" t="s">
        <v>110</v>
      </c>
      <c r="H21" s="22"/>
      <c r="I21" s="24" t="s">
        <v>135</v>
      </c>
      <c r="J21" s="25" t="str">
        <f aca="false">IF(COUNTIF(Profil!$C$11:$C$14,"Oui")=0,"",IF(AND(OR(AND(ISNUMBER(SEARCH("CFA",$E21)),Profil!$C$14="Oui"),AND(ISNUMBER(SEARCH("AF",$E21)),Profil!$C$11="Oui"),AND(ISNUMBER(SEARCH("BC",$E21)),Profil!$C$12="Oui"),AND(ISNUMBER(SEARCH("VAE",$E21)),Profil!$C$13="Oui")),IFERROR(INDEX(Profil!$C$17:$C$20,MATCH($F21,Profil!$B$17:$B$20,0)),"")&lt;&gt;"Non"),"Oui","Non"))</f>
        <v/>
      </c>
      <c r="K21" s="26"/>
      <c r="L21" s="25" t="str">
        <f aca="false">IF(OR($J21&lt;&gt;"Oui",K21="",K21="Sans objet"),"",IF(K21="Conforme","Aucun écart",IF(OR(K21="Non conforme",G21="Majeure seulement"),"Majeure probable","Mineure probable")))</f>
        <v/>
      </c>
      <c r="M21" s="27"/>
      <c r="N21" s="27"/>
      <c r="O21" s="27"/>
      <c r="P21" s="27"/>
      <c r="Q21" s="28"/>
      <c r="R21" s="25" t="str">
        <f aca="false">IF(L21="Majeure probable",COUNTIF(L$7:L21,"Majeure probable"),"")</f>
        <v/>
      </c>
    </row>
    <row r="22" customFormat="false" ht="39.75" hidden="false" customHeight="true" outlineLevel="0" collapsed="false">
      <c r="A22" s="22" t="n">
        <v>3</v>
      </c>
      <c r="B22" s="22" t="n">
        <v>16</v>
      </c>
      <c r="C22" s="23" t="s">
        <v>136</v>
      </c>
      <c r="D22" s="22" t="s">
        <v>109</v>
      </c>
      <c r="E22" s="22" t="s">
        <v>106</v>
      </c>
      <c r="F22" s="24" t="s">
        <v>49</v>
      </c>
      <c r="G22" s="22" t="s">
        <v>110</v>
      </c>
      <c r="H22" s="22"/>
      <c r="I22" s="24" t="s">
        <v>137</v>
      </c>
      <c r="J22" s="25" t="str">
        <f aca="false">IF(COUNTIF(Profil!$C$11:$C$14,"Oui")=0,"",IF(AND(OR(AND(ISNUMBER(SEARCH("CFA",$E22)),Profil!$C$14="Oui"),AND(ISNUMBER(SEARCH("AF",$E22)),Profil!$C$11="Oui"),AND(ISNUMBER(SEARCH("BC",$E22)),Profil!$C$12="Oui"),AND(ISNUMBER(SEARCH("VAE",$E22)),Profil!$C$13="Oui")),IFERROR(INDEX(Profil!$C$17:$C$20,MATCH($F22,Profil!$B$17:$B$20,0)),"")&lt;&gt;"Non"),"Oui","Non"))</f>
        <v/>
      </c>
      <c r="K22" s="26"/>
      <c r="L22" s="25" t="str">
        <f aca="false">IF(OR($J22&lt;&gt;"Oui",K22="",K22="Sans objet"),"",IF(K22="Conforme","Aucun écart",IF(OR(K22="Non conforme",G22="Majeure seulement"),"Majeure probable","Mineure probable")))</f>
        <v/>
      </c>
      <c r="M22" s="27"/>
      <c r="N22" s="27"/>
      <c r="O22" s="27"/>
      <c r="P22" s="27"/>
      <c r="Q22" s="28"/>
      <c r="R22" s="25" t="str">
        <f aca="false">IF(L22="Majeure probable",COUNTIF(L$7:L22,"Majeure probable"),"")</f>
        <v/>
      </c>
    </row>
    <row r="23" customFormat="false" ht="39.75" hidden="false" customHeight="true" outlineLevel="0" collapsed="false">
      <c r="A23" s="29" t="n">
        <v>4</v>
      </c>
      <c r="B23" s="29" t="n">
        <v>17</v>
      </c>
      <c r="C23" s="30" t="s">
        <v>138</v>
      </c>
      <c r="D23" s="29" t="s">
        <v>109</v>
      </c>
      <c r="E23" s="29" t="s">
        <v>99</v>
      </c>
      <c r="F23" s="31"/>
      <c r="G23" s="29" t="s">
        <v>100</v>
      </c>
      <c r="H23" s="29"/>
      <c r="I23" s="31" t="s">
        <v>139</v>
      </c>
      <c r="J23" s="32" t="str">
        <f aca="false">IF(COUNTIF(Profil!$C$11:$C$14,"Oui")=0,"",IF(AND(OR(AND(ISNUMBER(SEARCH("CFA",$E23)),Profil!$C$14="Oui"),AND(ISNUMBER(SEARCH("AF",$E23)),Profil!$C$11="Oui"),AND(ISNUMBER(SEARCH("BC",$E23)),Profil!$C$12="Oui"),AND(ISNUMBER(SEARCH("VAE",$E23)),Profil!$C$13="Oui")),IFERROR(INDEX(Profil!$C$17:$C$20,MATCH($F23,Profil!$B$17:$B$20,0)),"")&lt;&gt;"Non"),"Oui","Non"))</f>
        <v/>
      </c>
      <c r="K23" s="33"/>
      <c r="L23" s="32" t="str">
        <f aca="false">IF(OR($J23&lt;&gt;"Oui",K23="",K23="Sans objet"),"",IF(K23="Conforme","Aucun écart",IF(OR(K23="Non conforme",G23="Majeure seulement"),"Majeure probable","Mineure probable")))</f>
        <v/>
      </c>
      <c r="M23" s="34"/>
      <c r="N23" s="34"/>
      <c r="O23" s="34"/>
      <c r="P23" s="34"/>
      <c r="Q23" s="35"/>
      <c r="R23" s="25" t="str">
        <f aca="false">IF(L23="Majeure probable",COUNTIF(L$7:L23,"Majeure probable"),"")</f>
        <v/>
      </c>
    </row>
    <row r="24" customFormat="false" ht="33.75" hidden="false" customHeight="true" outlineLevel="0" collapsed="false">
      <c r="A24" s="22" t="n">
        <v>4</v>
      </c>
      <c r="B24" s="22" t="n">
        <v>18</v>
      </c>
      <c r="C24" s="23" t="s">
        <v>140</v>
      </c>
      <c r="D24" s="22" t="s">
        <v>109</v>
      </c>
      <c r="E24" s="22" t="s">
        <v>99</v>
      </c>
      <c r="F24" s="24"/>
      <c r="G24" s="22" t="s">
        <v>100</v>
      </c>
      <c r="H24" s="22"/>
      <c r="I24" s="24" t="s">
        <v>141</v>
      </c>
      <c r="J24" s="25" t="str">
        <f aca="false">IF(COUNTIF(Profil!$C$11:$C$14,"Oui")=0,"",IF(AND(OR(AND(ISNUMBER(SEARCH("CFA",$E24)),Profil!$C$14="Oui"),AND(ISNUMBER(SEARCH("AF",$E24)),Profil!$C$11="Oui"),AND(ISNUMBER(SEARCH("BC",$E24)),Profil!$C$12="Oui"),AND(ISNUMBER(SEARCH("VAE",$E24)),Profil!$C$13="Oui")),IFERROR(INDEX(Profil!$C$17:$C$20,MATCH($F24,Profil!$B$17:$B$20,0)),"")&lt;&gt;"Non"),"Oui","Non"))</f>
        <v/>
      </c>
      <c r="K24" s="26"/>
      <c r="L24" s="25" t="str">
        <f aca="false">IF(OR($J24&lt;&gt;"Oui",K24="",K24="Sans objet"),"",IF(K24="Conforme","Aucun écart",IF(OR(K24="Non conforme",G24="Majeure seulement"),"Majeure probable","Mineure probable")))</f>
        <v/>
      </c>
      <c r="M24" s="27"/>
      <c r="N24" s="27"/>
      <c r="O24" s="27"/>
      <c r="P24" s="27"/>
      <c r="Q24" s="28"/>
      <c r="R24" s="25" t="str">
        <f aca="false">IF(L24="Majeure probable",COUNTIF(L$7:L24,"Majeure probable"),"")</f>
        <v/>
      </c>
    </row>
    <row r="25" customFormat="false" ht="51" hidden="false" customHeight="true" outlineLevel="0" collapsed="false">
      <c r="A25" s="22" t="n">
        <v>4</v>
      </c>
      <c r="B25" s="22" t="n">
        <v>19</v>
      </c>
      <c r="C25" s="23" t="s">
        <v>142</v>
      </c>
      <c r="D25" s="22" t="s">
        <v>98</v>
      </c>
      <c r="E25" s="22" t="s">
        <v>99</v>
      </c>
      <c r="F25" s="24"/>
      <c r="G25" s="22" t="s">
        <v>100</v>
      </c>
      <c r="H25" s="22" t="s">
        <v>103</v>
      </c>
      <c r="I25" s="24" t="s">
        <v>143</v>
      </c>
      <c r="J25" s="25" t="str">
        <f aca="false">IF(COUNTIF(Profil!$C$11:$C$14,"Oui")=0,"",IF(AND(OR(AND(ISNUMBER(SEARCH("CFA",$E25)),Profil!$C$14="Oui"),AND(ISNUMBER(SEARCH("AF",$E25)),Profil!$C$11="Oui"),AND(ISNUMBER(SEARCH("BC",$E25)),Profil!$C$12="Oui"),AND(ISNUMBER(SEARCH("VAE",$E25)),Profil!$C$13="Oui")),IFERROR(INDEX(Profil!$C$17:$C$20,MATCH($F25,Profil!$B$17:$B$20,0)),"")&lt;&gt;"Non"),"Oui","Non"))</f>
        <v/>
      </c>
      <c r="K25" s="26"/>
      <c r="L25" s="25" t="str">
        <f aca="false">IF(OR($J25&lt;&gt;"Oui",K25="",K25="Sans objet"),"",IF(K25="Conforme","Aucun écart",IF(OR(K25="Non conforme",G25="Majeure seulement"),"Majeure probable","Mineure probable")))</f>
        <v/>
      </c>
      <c r="M25" s="27"/>
      <c r="N25" s="27"/>
      <c r="O25" s="27"/>
      <c r="P25" s="27"/>
      <c r="Q25" s="28"/>
      <c r="R25" s="25" t="str">
        <f aca="false">IF(L25="Majeure probable",COUNTIF(L$7:L25,"Majeure probable"),"")</f>
        <v/>
      </c>
    </row>
    <row r="26" customFormat="false" ht="51" hidden="false" customHeight="true" outlineLevel="0" collapsed="false">
      <c r="A26" s="22" t="n">
        <v>4</v>
      </c>
      <c r="B26" s="22" t="n">
        <v>20</v>
      </c>
      <c r="C26" s="23" t="s">
        <v>144</v>
      </c>
      <c r="D26" s="22" t="s">
        <v>98</v>
      </c>
      <c r="E26" s="22" t="s">
        <v>132</v>
      </c>
      <c r="F26" s="24"/>
      <c r="G26" s="22" t="s">
        <v>110</v>
      </c>
      <c r="H26" s="22"/>
      <c r="I26" s="24" t="s">
        <v>145</v>
      </c>
      <c r="J26" s="25" t="str">
        <f aca="false">IF(COUNTIF(Profil!$C$11:$C$14,"Oui")=0,"",IF(AND(OR(AND(ISNUMBER(SEARCH("CFA",$E26)),Profil!$C$14="Oui"),AND(ISNUMBER(SEARCH("AF",$E26)),Profil!$C$11="Oui"),AND(ISNUMBER(SEARCH("BC",$E26)),Profil!$C$12="Oui"),AND(ISNUMBER(SEARCH("VAE",$E26)),Profil!$C$13="Oui")),IFERROR(INDEX(Profil!$C$17:$C$20,MATCH($F26,Profil!$B$17:$B$20,0)),"")&lt;&gt;"Non"),"Oui","Non"))</f>
        <v/>
      </c>
      <c r="K26" s="26"/>
      <c r="L26" s="25" t="str">
        <f aca="false">IF(OR($J26&lt;&gt;"Oui",K26="",K26="Sans objet"),"",IF(K26="Conforme","Aucun écart",IF(OR(K26="Non conforme",G26="Majeure seulement"),"Majeure probable","Mineure probable")))</f>
        <v/>
      </c>
      <c r="M26" s="27"/>
      <c r="N26" s="27"/>
      <c r="O26" s="27"/>
      <c r="P26" s="27"/>
      <c r="Q26" s="28"/>
      <c r="R26" s="25" t="str">
        <f aca="false">IF(L26="Majeure probable",COUNTIF(L$7:L26,"Majeure probable"),"")</f>
        <v/>
      </c>
    </row>
    <row r="27" customFormat="false" ht="33.75" hidden="false" customHeight="true" outlineLevel="0" collapsed="false">
      <c r="A27" s="29" t="n">
        <v>5</v>
      </c>
      <c r="B27" s="29" t="n">
        <v>21</v>
      </c>
      <c r="C27" s="30" t="s">
        <v>146</v>
      </c>
      <c r="D27" s="29" t="s">
        <v>109</v>
      </c>
      <c r="E27" s="29" t="s">
        <v>99</v>
      </c>
      <c r="F27" s="31"/>
      <c r="G27" s="29" t="s">
        <v>110</v>
      </c>
      <c r="H27" s="29"/>
      <c r="I27" s="31" t="s">
        <v>147</v>
      </c>
      <c r="J27" s="32" t="str">
        <f aca="false">IF(COUNTIF(Profil!$C$11:$C$14,"Oui")=0,"",IF(AND(OR(AND(ISNUMBER(SEARCH("CFA",$E27)),Profil!$C$14="Oui"),AND(ISNUMBER(SEARCH("AF",$E27)),Profil!$C$11="Oui"),AND(ISNUMBER(SEARCH("BC",$E27)),Profil!$C$12="Oui"),AND(ISNUMBER(SEARCH("VAE",$E27)),Profil!$C$13="Oui")),IFERROR(INDEX(Profil!$C$17:$C$20,MATCH($F27,Profil!$B$17:$B$20,0)),"")&lt;&gt;"Non"),"Oui","Non"))</f>
        <v/>
      </c>
      <c r="K27" s="33"/>
      <c r="L27" s="32" t="str">
        <f aca="false">IF(OR($J27&lt;&gt;"Oui",K27="",K27="Sans objet"),"",IF(K27="Conforme","Aucun écart",IF(OR(K27="Non conforme",G27="Majeure seulement"),"Majeure probable","Mineure probable")))</f>
        <v/>
      </c>
      <c r="M27" s="34"/>
      <c r="N27" s="34"/>
      <c r="O27" s="34"/>
      <c r="P27" s="34"/>
      <c r="Q27" s="35"/>
      <c r="R27" s="25" t="str">
        <f aca="false">IF(L27="Majeure probable",COUNTIF(L$7:L27,"Majeure probable"),"")</f>
        <v/>
      </c>
    </row>
    <row r="28" customFormat="false" ht="39.75" hidden="false" customHeight="true" outlineLevel="0" collapsed="false">
      <c r="A28" s="22" t="n">
        <v>5</v>
      </c>
      <c r="B28" s="22" t="n">
        <v>22</v>
      </c>
      <c r="C28" s="23" t="s">
        <v>148</v>
      </c>
      <c r="D28" s="22" t="s">
        <v>109</v>
      </c>
      <c r="E28" s="22" t="s">
        <v>99</v>
      </c>
      <c r="F28" s="24"/>
      <c r="G28" s="22" t="s">
        <v>110</v>
      </c>
      <c r="H28" s="22" t="s">
        <v>103</v>
      </c>
      <c r="I28" s="24" t="s">
        <v>149</v>
      </c>
      <c r="J28" s="25" t="str">
        <f aca="false">IF(COUNTIF(Profil!$C$11:$C$14,"Oui")=0,"",IF(AND(OR(AND(ISNUMBER(SEARCH("CFA",$E28)),Profil!$C$14="Oui"),AND(ISNUMBER(SEARCH("AF",$E28)),Profil!$C$11="Oui"),AND(ISNUMBER(SEARCH("BC",$E28)),Profil!$C$12="Oui"),AND(ISNUMBER(SEARCH("VAE",$E28)),Profil!$C$13="Oui")),IFERROR(INDEX(Profil!$C$17:$C$20,MATCH($F28,Profil!$B$17:$B$20,0)),"")&lt;&gt;"Non"),"Oui","Non"))</f>
        <v/>
      </c>
      <c r="K28" s="26"/>
      <c r="L28" s="25" t="str">
        <f aca="false">IF(OR($J28&lt;&gt;"Oui",K28="",K28="Sans objet"),"",IF(K28="Conforme","Aucun écart",IF(OR(K28="Non conforme",G28="Majeure seulement"),"Majeure probable","Mineure probable")))</f>
        <v/>
      </c>
      <c r="M28" s="27"/>
      <c r="N28" s="27"/>
      <c r="O28" s="27"/>
      <c r="P28" s="27"/>
      <c r="Q28" s="28"/>
      <c r="R28" s="25" t="str">
        <f aca="false">IF(L28="Majeure probable",COUNTIF(L$7:L28,"Majeure probable"),"")</f>
        <v/>
      </c>
    </row>
    <row r="29" customFormat="false" ht="39.75" hidden="false" customHeight="true" outlineLevel="0" collapsed="false">
      <c r="A29" s="29" t="n">
        <v>6</v>
      </c>
      <c r="B29" s="29" t="n">
        <v>23</v>
      </c>
      <c r="C29" s="30" t="s">
        <v>150</v>
      </c>
      <c r="D29" s="29" t="s">
        <v>109</v>
      </c>
      <c r="E29" s="29" t="s">
        <v>99</v>
      </c>
      <c r="F29" s="31"/>
      <c r="G29" s="29" t="s">
        <v>100</v>
      </c>
      <c r="H29" s="29"/>
      <c r="I29" s="31" t="s">
        <v>151</v>
      </c>
      <c r="J29" s="32" t="str">
        <f aca="false">IF(COUNTIF(Profil!$C$11:$C$14,"Oui")=0,"",IF(AND(OR(AND(ISNUMBER(SEARCH("CFA",$E29)),Profil!$C$14="Oui"),AND(ISNUMBER(SEARCH("AF",$E29)),Profil!$C$11="Oui"),AND(ISNUMBER(SEARCH("BC",$E29)),Profil!$C$12="Oui"),AND(ISNUMBER(SEARCH("VAE",$E29)),Profil!$C$13="Oui")),IFERROR(INDEX(Profil!$C$17:$C$20,MATCH($F29,Profil!$B$17:$B$20,0)),"")&lt;&gt;"Non"),"Oui","Non"))</f>
        <v/>
      </c>
      <c r="K29" s="33"/>
      <c r="L29" s="32" t="str">
        <f aca="false">IF(OR($J29&lt;&gt;"Oui",K29="",K29="Sans objet"),"",IF(K29="Conforme","Aucun écart",IF(OR(K29="Non conforme",G29="Majeure seulement"),"Majeure probable","Mineure probable")))</f>
        <v/>
      </c>
      <c r="M29" s="34"/>
      <c r="N29" s="34"/>
      <c r="O29" s="34"/>
      <c r="P29" s="34"/>
      <c r="Q29" s="35"/>
      <c r="R29" s="25" t="str">
        <f aca="false">IF(L29="Majeure probable",COUNTIF(L$7:L29,"Majeure probable"),"")</f>
        <v/>
      </c>
    </row>
    <row r="30" customFormat="false" ht="33.75" hidden="false" customHeight="true" outlineLevel="0" collapsed="false">
      <c r="A30" s="22" t="n">
        <v>6</v>
      </c>
      <c r="B30" s="22" t="n">
        <v>24</v>
      </c>
      <c r="C30" s="23" t="s">
        <v>152</v>
      </c>
      <c r="D30" s="22" t="s">
        <v>109</v>
      </c>
      <c r="E30" s="22" t="s">
        <v>99</v>
      </c>
      <c r="F30" s="24"/>
      <c r="G30" s="22" t="s">
        <v>100</v>
      </c>
      <c r="H30" s="22" t="s">
        <v>103</v>
      </c>
      <c r="I30" s="24" t="s">
        <v>153</v>
      </c>
      <c r="J30" s="25" t="str">
        <f aca="false">IF(COUNTIF(Profil!$C$11:$C$14,"Oui")=0,"",IF(AND(OR(AND(ISNUMBER(SEARCH("CFA",$E30)),Profil!$C$14="Oui"),AND(ISNUMBER(SEARCH("AF",$E30)),Profil!$C$11="Oui"),AND(ISNUMBER(SEARCH("BC",$E30)),Profil!$C$12="Oui"),AND(ISNUMBER(SEARCH("VAE",$E30)),Profil!$C$13="Oui")),IFERROR(INDEX(Profil!$C$17:$C$20,MATCH($F30,Profil!$B$17:$B$20,0)),"")&lt;&gt;"Non"),"Oui","Non"))</f>
        <v/>
      </c>
      <c r="K30" s="26"/>
      <c r="L30" s="25" t="str">
        <f aca="false">IF(OR($J30&lt;&gt;"Oui",K30="",K30="Sans objet"),"",IF(K30="Conforme","Aucun écart",IF(OR(K30="Non conforme",G30="Majeure seulement"),"Majeure probable","Mineure probable")))</f>
        <v/>
      </c>
      <c r="M30" s="27"/>
      <c r="N30" s="27"/>
      <c r="O30" s="27"/>
      <c r="P30" s="27"/>
      <c r="Q30" s="28"/>
      <c r="R30" s="25" t="str">
        <f aca="false">IF(L30="Majeure probable",COUNTIF(L$7:L30,"Majeure probable"),"")</f>
        <v/>
      </c>
    </row>
    <row r="31" customFormat="false" ht="33.75" hidden="false" customHeight="true" outlineLevel="0" collapsed="false">
      <c r="A31" s="22" t="n">
        <v>6</v>
      </c>
      <c r="B31" s="22" t="n">
        <v>25</v>
      </c>
      <c r="C31" s="23" t="s">
        <v>154</v>
      </c>
      <c r="D31" s="22" t="s">
        <v>109</v>
      </c>
      <c r="E31" s="22" t="s">
        <v>99</v>
      </c>
      <c r="F31" s="24"/>
      <c r="G31" s="22" t="s">
        <v>100</v>
      </c>
      <c r="H31" s="22" t="s">
        <v>103</v>
      </c>
      <c r="I31" s="24" t="s">
        <v>155</v>
      </c>
      <c r="J31" s="25" t="str">
        <f aca="false">IF(COUNTIF(Profil!$C$11:$C$14,"Oui")=0,"",IF(AND(OR(AND(ISNUMBER(SEARCH("CFA",$E31)),Profil!$C$14="Oui"),AND(ISNUMBER(SEARCH("AF",$E31)),Profil!$C$11="Oui"),AND(ISNUMBER(SEARCH("BC",$E31)),Profil!$C$12="Oui"),AND(ISNUMBER(SEARCH("VAE",$E31)),Profil!$C$13="Oui")),IFERROR(INDEX(Profil!$C$17:$C$20,MATCH($F31,Profil!$B$17:$B$20,0)),"")&lt;&gt;"Non"),"Oui","Non"))</f>
        <v/>
      </c>
      <c r="K31" s="26"/>
      <c r="L31" s="25" t="str">
        <f aca="false">IF(OR($J31&lt;&gt;"Oui",K31="",K31="Sans objet"),"",IF(K31="Conforme","Aucun écart",IF(OR(K31="Non conforme",G31="Majeure seulement"),"Majeure probable","Mineure probable")))</f>
        <v/>
      </c>
      <c r="M31" s="27"/>
      <c r="N31" s="27"/>
      <c r="O31" s="27"/>
      <c r="P31" s="27"/>
      <c r="Q31" s="28"/>
      <c r="R31" s="25" t="str">
        <f aca="false">IF(L31="Majeure probable",COUNTIF(L$7:L31,"Majeure probable"),"")</f>
        <v/>
      </c>
    </row>
    <row r="32" customFormat="false" ht="39.75" hidden="false" customHeight="true" outlineLevel="0" collapsed="false">
      <c r="A32" s="22" t="n">
        <v>6</v>
      </c>
      <c r="B32" s="22" t="n">
        <v>26</v>
      </c>
      <c r="C32" s="23" t="s">
        <v>156</v>
      </c>
      <c r="D32" s="22" t="s">
        <v>109</v>
      </c>
      <c r="E32" s="22" t="s">
        <v>99</v>
      </c>
      <c r="F32" s="24"/>
      <c r="G32" s="22" t="s">
        <v>110</v>
      </c>
      <c r="H32" s="22" t="s">
        <v>103</v>
      </c>
      <c r="I32" s="24" t="s">
        <v>157</v>
      </c>
      <c r="J32" s="25" t="str">
        <f aca="false">IF(COUNTIF(Profil!$C$11:$C$14,"Oui")=0,"",IF(AND(OR(AND(ISNUMBER(SEARCH("CFA",$E32)),Profil!$C$14="Oui"),AND(ISNUMBER(SEARCH("AF",$E32)),Profil!$C$11="Oui"),AND(ISNUMBER(SEARCH("BC",$E32)),Profil!$C$12="Oui"),AND(ISNUMBER(SEARCH("VAE",$E32)),Profil!$C$13="Oui")),IFERROR(INDEX(Profil!$C$17:$C$20,MATCH($F32,Profil!$B$17:$B$20,0)),"")&lt;&gt;"Non"),"Oui","Non"))</f>
        <v/>
      </c>
      <c r="K32" s="26"/>
      <c r="L32" s="25" t="str">
        <f aca="false">IF(OR($J32&lt;&gt;"Oui",K32="",K32="Sans objet"),"",IF(K32="Conforme","Aucun écart",IF(OR(K32="Non conforme",G32="Majeure seulement"),"Majeure probable","Mineure probable")))</f>
        <v/>
      </c>
      <c r="M32" s="27"/>
      <c r="N32" s="27"/>
      <c r="O32" s="27"/>
      <c r="P32" s="27"/>
      <c r="Q32" s="28"/>
      <c r="R32" s="25" t="str">
        <f aca="false">IF(L32="Majeure probable",COUNTIF(L$7:L32,"Majeure probable"),"")</f>
        <v/>
      </c>
    </row>
    <row r="33" customFormat="false" ht="39.75" hidden="false" customHeight="true" outlineLevel="0" collapsed="false">
      <c r="A33" s="22" t="n">
        <v>6</v>
      </c>
      <c r="B33" s="22" t="n">
        <v>27</v>
      </c>
      <c r="C33" s="23" t="s">
        <v>158</v>
      </c>
      <c r="D33" s="22" t="s">
        <v>98</v>
      </c>
      <c r="E33" s="22" t="s">
        <v>99</v>
      </c>
      <c r="F33" s="24" t="s">
        <v>55</v>
      </c>
      <c r="G33" s="22" t="s">
        <v>110</v>
      </c>
      <c r="H33" s="22"/>
      <c r="I33" s="24" t="s">
        <v>159</v>
      </c>
      <c r="J33" s="25" t="str">
        <f aca="false">IF(COUNTIF(Profil!$C$11:$C$14,"Oui")=0,"",IF(AND(OR(AND(ISNUMBER(SEARCH("CFA",$E33)),Profil!$C$14="Oui"),AND(ISNUMBER(SEARCH("AF",$E33)),Profil!$C$11="Oui"),AND(ISNUMBER(SEARCH("BC",$E33)),Profil!$C$12="Oui"),AND(ISNUMBER(SEARCH("VAE",$E33)),Profil!$C$13="Oui")),IFERROR(INDEX(Profil!$C$17:$C$20,MATCH($F33,Profil!$B$17:$B$20,0)),"")&lt;&gt;"Non"),"Oui","Non"))</f>
        <v/>
      </c>
      <c r="K33" s="26"/>
      <c r="L33" s="25" t="str">
        <f aca="false">IF(OR($J33&lt;&gt;"Oui",K33="",K33="Sans objet"),"",IF(K33="Conforme","Aucun écart",IF(OR(K33="Non conforme",G33="Majeure seulement"),"Majeure probable","Mineure probable")))</f>
        <v/>
      </c>
      <c r="M33" s="27"/>
      <c r="N33" s="27"/>
      <c r="O33" s="27"/>
      <c r="P33" s="27"/>
      <c r="Q33" s="28"/>
      <c r="R33" s="25" t="str">
        <f aca="false">IF(L33="Majeure probable",COUNTIF(L$7:L33,"Majeure probable"),"")</f>
        <v/>
      </c>
    </row>
    <row r="34" customFormat="false" ht="39.75" hidden="false" customHeight="true" outlineLevel="0" collapsed="false">
      <c r="A34" s="22" t="n">
        <v>6</v>
      </c>
      <c r="B34" s="22" t="n">
        <v>28</v>
      </c>
      <c r="C34" s="23" t="s">
        <v>160</v>
      </c>
      <c r="D34" s="22" t="s">
        <v>109</v>
      </c>
      <c r="E34" s="22" t="s">
        <v>117</v>
      </c>
      <c r="F34" s="24" t="s">
        <v>53</v>
      </c>
      <c r="G34" s="22" t="s">
        <v>100</v>
      </c>
      <c r="H34" s="22"/>
      <c r="I34" s="24" t="s">
        <v>161</v>
      </c>
      <c r="J34" s="25" t="str">
        <f aca="false">IF(COUNTIF(Profil!$C$11:$C$14,"Oui")=0,"",IF(AND(OR(AND(ISNUMBER(SEARCH("CFA",$E34)),Profil!$C$14="Oui"),AND(ISNUMBER(SEARCH("AF",$E34)),Profil!$C$11="Oui"),AND(ISNUMBER(SEARCH("BC",$E34)),Profil!$C$12="Oui"),AND(ISNUMBER(SEARCH("VAE",$E34)),Profil!$C$13="Oui")),IFERROR(INDEX(Profil!$C$17:$C$20,MATCH($F34,Profil!$B$17:$B$20,0)),"")&lt;&gt;"Non"),"Oui","Non"))</f>
        <v/>
      </c>
      <c r="K34" s="26"/>
      <c r="L34" s="25" t="str">
        <f aca="false">IF(OR($J34&lt;&gt;"Oui",K34="",K34="Sans objet"),"",IF(K34="Conforme","Aucun écart",IF(OR(K34="Non conforme",G34="Majeure seulement"),"Majeure probable","Mineure probable")))</f>
        <v/>
      </c>
      <c r="M34" s="27"/>
      <c r="N34" s="27"/>
      <c r="O34" s="27"/>
      <c r="P34" s="27"/>
      <c r="Q34" s="28"/>
      <c r="R34" s="25" t="str">
        <f aca="false">IF(L34="Majeure probable",COUNTIF(L$7:L34,"Majeure probable"),"")</f>
        <v/>
      </c>
    </row>
    <row r="35" customFormat="false" ht="39.75" hidden="false" customHeight="true" outlineLevel="0" collapsed="false">
      <c r="A35" s="22" t="n">
        <v>6</v>
      </c>
      <c r="B35" s="22" t="n">
        <v>29</v>
      </c>
      <c r="C35" s="23" t="s">
        <v>162</v>
      </c>
      <c r="D35" s="22" t="s">
        <v>109</v>
      </c>
      <c r="E35" s="22" t="s">
        <v>132</v>
      </c>
      <c r="F35" s="24"/>
      <c r="G35" s="22" t="s">
        <v>110</v>
      </c>
      <c r="H35" s="22"/>
      <c r="I35" s="24" t="s">
        <v>163</v>
      </c>
      <c r="J35" s="25" t="str">
        <f aca="false">IF(COUNTIF(Profil!$C$11:$C$14,"Oui")=0,"",IF(AND(OR(AND(ISNUMBER(SEARCH("CFA",$E35)),Profil!$C$14="Oui"),AND(ISNUMBER(SEARCH("AF",$E35)),Profil!$C$11="Oui"),AND(ISNUMBER(SEARCH("BC",$E35)),Profil!$C$12="Oui"),AND(ISNUMBER(SEARCH("VAE",$E35)),Profil!$C$13="Oui")),IFERROR(INDEX(Profil!$C$17:$C$20,MATCH($F35,Profil!$B$17:$B$20,0)),"")&lt;&gt;"Non"),"Oui","Non"))</f>
        <v/>
      </c>
      <c r="K35" s="26"/>
      <c r="L35" s="25" t="str">
        <f aca="false">IF(OR($J35&lt;&gt;"Oui",K35="",K35="Sans objet"),"",IF(K35="Conforme","Aucun écart",IF(OR(K35="Non conforme",G35="Majeure seulement"),"Majeure probable","Mineure probable")))</f>
        <v/>
      </c>
      <c r="M35" s="27"/>
      <c r="N35" s="27"/>
      <c r="O35" s="27"/>
      <c r="P35" s="27"/>
      <c r="Q35" s="28"/>
      <c r="R35" s="25" t="str">
        <f aca="false">IF(L35="Majeure probable",COUNTIF(L$7:L35,"Majeure probable"),"")</f>
        <v/>
      </c>
    </row>
    <row r="36" customFormat="false" ht="39.75" hidden="false" customHeight="true" outlineLevel="0" collapsed="false">
      <c r="A36" s="29" t="n">
        <v>7</v>
      </c>
      <c r="B36" s="29" t="n">
        <v>30</v>
      </c>
      <c r="C36" s="30" t="s">
        <v>164</v>
      </c>
      <c r="D36" s="29" t="s">
        <v>98</v>
      </c>
      <c r="E36" s="29" t="s">
        <v>99</v>
      </c>
      <c r="F36" s="31"/>
      <c r="G36" s="29" t="s">
        <v>100</v>
      </c>
      <c r="H36" s="29"/>
      <c r="I36" s="31" t="s">
        <v>165</v>
      </c>
      <c r="J36" s="32" t="str">
        <f aca="false">IF(COUNTIF(Profil!$C$11:$C$14,"Oui")=0,"",IF(AND(OR(AND(ISNUMBER(SEARCH("CFA",$E36)),Profil!$C$14="Oui"),AND(ISNUMBER(SEARCH("AF",$E36)),Profil!$C$11="Oui"),AND(ISNUMBER(SEARCH("BC",$E36)),Profil!$C$12="Oui"),AND(ISNUMBER(SEARCH("VAE",$E36)),Profil!$C$13="Oui")),IFERROR(INDEX(Profil!$C$17:$C$20,MATCH($F36,Profil!$B$17:$B$20,0)),"")&lt;&gt;"Non"),"Oui","Non"))</f>
        <v/>
      </c>
      <c r="K36" s="33"/>
      <c r="L36" s="32" t="str">
        <f aca="false">IF(OR($J36&lt;&gt;"Oui",K36="",K36="Sans objet"),"",IF(K36="Conforme","Aucun écart",IF(OR(K36="Non conforme",G36="Majeure seulement"),"Majeure probable","Mineure probable")))</f>
        <v/>
      </c>
      <c r="M36" s="34"/>
      <c r="N36" s="34"/>
      <c r="O36" s="34"/>
      <c r="P36" s="34"/>
      <c r="Q36" s="35"/>
      <c r="R36" s="25" t="str">
        <f aca="false">IF(L36="Majeure probable",COUNTIF(L$7:L36,"Majeure probable"),"")</f>
        <v/>
      </c>
    </row>
    <row r="37" customFormat="false" ht="39.75" hidden="false" customHeight="true" outlineLevel="0" collapsed="false">
      <c r="A37" s="22" t="n">
        <v>7</v>
      </c>
      <c r="B37" s="22" t="n">
        <v>31</v>
      </c>
      <c r="C37" s="23" t="s">
        <v>166</v>
      </c>
      <c r="D37" s="22" t="s">
        <v>167</v>
      </c>
      <c r="E37" s="22" t="s">
        <v>99</v>
      </c>
      <c r="F37" s="24"/>
      <c r="G37" s="22" t="s">
        <v>110</v>
      </c>
      <c r="H37" s="22"/>
      <c r="I37" s="24" t="s">
        <v>168</v>
      </c>
      <c r="J37" s="25" t="str">
        <f aca="false">IF(COUNTIF(Profil!$C$11:$C$14,"Oui")=0,"",IF(AND(OR(AND(ISNUMBER(SEARCH("CFA",$E37)),Profil!$C$14="Oui"),AND(ISNUMBER(SEARCH("AF",$E37)),Profil!$C$11="Oui"),AND(ISNUMBER(SEARCH("BC",$E37)),Profil!$C$12="Oui"),AND(ISNUMBER(SEARCH("VAE",$E37)),Profil!$C$13="Oui")),IFERROR(INDEX(Profil!$C$17:$C$20,MATCH($F37,Profil!$B$17:$B$20,0)),"")&lt;&gt;"Non"),"Oui","Non"))</f>
        <v/>
      </c>
      <c r="K37" s="26"/>
      <c r="L37" s="25" t="str">
        <f aca="false">IF(OR($J37&lt;&gt;"Oui",K37="",K37="Sans objet"),"",IF(K37="Conforme","Aucun écart",IF(OR(K37="Non conforme",G37="Majeure seulement"),"Majeure probable","Mineure probable")))</f>
        <v/>
      </c>
      <c r="M37" s="27"/>
      <c r="N37" s="27"/>
      <c r="O37" s="27"/>
      <c r="P37" s="27"/>
      <c r="Q37" s="28"/>
      <c r="R37" s="25" t="str">
        <f aca="false">IF(L37="Majeure probable",COUNTIF(L$7:L37,"Majeure probable"),"")</f>
        <v/>
      </c>
    </row>
    <row r="38" customFormat="false" ht="39.75" hidden="false" customHeight="true" outlineLevel="0" collapsed="false">
      <c r="A38" s="22" t="n">
        <v>7</v>
      </c>
      <c r="B38" s="22" t="n">
        <v>32</v>
      </c>
      <c r="C38" s="23" t="s">
        <v>169</v>
      </c>
      <c r="D38" s="22" t="s">
        <v>98</v>
      </c>
      <c r="E38" s="22" t="s">
        <v>99</v>
      </c>
      <c r="F38" s="24"/>
      <c r="G38" s="22" t="s">
        <v>110</v>
      </c>
      <c r="H38" s="22" t="s">
        <v>103</v>
      </c>
      <c r="I38" s="24" t="s">
        <v>170</v>
      </c>
      <c r="J38" s="25" t="str">
        <f aca="false">IF(COUNTIF(Profil!$C$11:$C$14,"Oui")=0,"",IF(AND(OR(AND(ISNUMBER(SEARCH("CFA",$E38)),Profil!$C$14="Oui"),AND(ISNUMBER(SEARCH("AF",$E38)),Profil!$C$11="Oui"),AND(ISNUMBER(SEARCH("BC",$E38)),Profil!$C$12="Oui"),AND(ISNUMBER(SEARCH("VAE",$E38)),Profil!$C$13="Oui")),IFERROR(INDEX(Profil!$C$17:$C$20,MATCH($F38,Profil!$B$17:$B$20,0)),"")&lt;&gt;"Non"),"Oui","Non"))</f>
        <v/>
      </c>
      <c r="K38" s="26"/>
      <c r="L38" s="25" t="str">
        <f aca="false">IF(OR($J38&lt;&gt;"Oui",K38="",K38="Sans objet"),"",IF(K38="Conforme","Aucun écart",IF(OR(K38="Non conforme",G38="Majeure seulement"),"Majeure probable","Mineure probable")))</f>
        <v/>
      </c>
      <c r="M38" s="27"/>
      <c r="N38" s="27"/>
      <c r="O38" s="27"/>
      <c r="P38" s="27"/>
      <c r="Q38" s="28"/>
      <c r="R38" s="25" t="str">
        <f aca="false">IF(L38="Majeure probable",COUNTIF(L$7:L38,"Majeure probable"),"")</f>
        <v/>
      </c>
    </row>
    <row r="39" customFormat="false" ht="51" hidden="false" customHeight="true" outlineLevel="0" collapsed="false">
      <c r="A39" s="22" t="n">
        <v>7</v>
      </c>
      <c r="B39" s="22" t="n">
        <v>33</v>
      </c>
      <c r="C39" s="23" t="s">
        <v>171</v>
      </c>
      <c r="D39" s="22" t="s">
        <v>172</v>
      </c>
      <c r="E39" s="22" t="s">
        <v>132</v>
      </c>
      <c r="F39" s="24"/>
      <c r="G39" s="22" t="s">
        <v>100</v>
      </c>
      <c r="H39" s="22"/>
      <c r="I39" s="24" t="s">
        <v>173</v>
      </c>
      <c r="J39" s="25" t="str">
        <f aca="false">IF(COUNTIF(Profil!$C$11:$C$14,"Oui")=0,"",IF(AND(OR(AND(ISNUMBER(SEARCH("CFA",$E39)),Profil!$C$14="Oui"),AND(ISNUMBER(SEARCH("AF",$E39)),Profil!$C$11="Oui"),AND(ISNUMBER(SEARCH("BC",$E39)),Profil!$C$12="Oui"),AND(ISNUMBER(SEARCH("VAE",$E39)),Profil!$C$13="Oui")),IFERROR(INDEX(Profil!$C$17:$C$20,MATCH($F39,Profil!$B$17:$B$20,0)),"")&lt;&gt;"Non"),"Oui","Non"))</f>
        <v/>
      </c>
      <c r="K39" s="26"/>
      <c r="L39" s="25" t="str">
        <f aca="false">IF(OR($J39&lt;&gt;"Oui",K39="",K39="Sans objet"),"",IF(K39="Conforme","Aucun écart",IF(OR(K39="Non conforme",G39="Majeure seulement"),"Majeure probable","Mineure probable")))</f>
        <v/>
      </c>
      <c r="M39" s="27"/>
      <c r="N39" s="27"/>
      <c r="O39" s="27"/>
      <c r="P39" s="27"/>
      <c r="Q39" s="28"/>
      <c r="R39" s="25" t="str">
        <f aca="false">IF(L39="Majeure probable",COUNTIF(L$7:L39,"Majeure probable"),"")</f>
        <v/>
      </c>
    </row>
  </sheetData>
  <mergeCells count="4">
    <mergeCell ref="A4:K4"/>
    <mergeCell ref="A5:H5"/>
    <mergeCell ref="J5:L5"/>
    <mergeCell ref="M5:Q5"/>
  </mergeCells>
  <conditionalFormatting sqref="K7:K39">
    <cfRule type="expression" priority="2" aboveAverage="0" equalAverage="0" bottom="0" percent="0" rank="0" text="" dxfId="1">
      <formula>$K7="Conforme"</formula>
    </cfRule>
    <cfRule type="expression" priority="3" aboveAverage="0" equalAverage="0" bottom="0" percent="0" rank="0" text="" dxfId="2">
      <formula>$K7="Partiel"</formula>
    </cfRule>
    <cfRule type="expression" priority="4" aboveAverage="0" equalAverage="0" bottom="0" percent="0" rank="0" text="" dxfId="0">
      <formula>$K7="Non conforme"</formula>
    </cfRule>
    <cfRule type="expression" priority="5" aboveAverage="0" equalAverage="0" bottom="0" percent="0" rank="0" text="" dxfId="3">
      <formula>$K7="Sans objet"</formula>
    </cfRule>
  </conditionalFormatting>
  <conditionalFormatting sqref="L7:L39">
    <cfRule type="expression" priority="6" aboveAverage="0" equalAverage="0" bottom="0" percent="0" rank="0" text="" dxfId="0">
      <formula>$L7="Majeure probable"</formula>
    </cfRule>
    <cfRule type="expression" priority="7" aboveAverage="0" equalAverage="0" bottom="0" percent="0" rank="0" text="" dxfId="2">
      <formula>$L7="Mineure probable"</formula>
    </cfRule>
    <cfRule type="expression" priority="8" aboveAverage="0" equalAverage="0" bottom="0" percent="0" rank="0" text="" dxfId="1">
      <formula>$L7="Aucun écart"</formula>
    </cfRule>
  </conditionalFormatting>
  <conditionalFormatting sqref="D7:D39">
    <cfRule type="expression" priority="9" aboveAverage="0" equalAverage="0" bottom="0" percent="0" rank="0" text="" dxfId="0">
      <formula>$D7="Nouveau"</formula>
    </cfRule>
    <cfRule type="expression" priority="10" aboveAverage="0" equalAverage="0" bottom="0" percent="0" rank="0" text="" dxfId="2">
      <formula>$D7="Modifié"</formula>
    </cfRule>
  </conditionalFormatting>
  <conditionalFormatting sqref="A7:I39">
    <cfRule type="expression" priority="11" aboveAverage="0" equalAverage="0" bottom="0" percent="0" rank="0" text="" dxfId="4">
      <formula>$J7="Non"</formula>
    </cfRule>
  </conditionalFormatting>
  <conditionalFormatting sqref="J7:J39">
    <cfRule type="expression" priority="12" aboveAverage="0" equalAverage="0" bottom="0" percent="0" rank="0" text="" dxfId="4">
      <formula>$J7="Non"</formula>
    </cfRule>
  </conditionalFormatting>
  <conditionalFormatting sqref="N7:O39">
    <cfRule type="expression" priority="13" aboveAverage="0" equalAverage="0" bottom="0" percent="0" rank="0" text="" dxfId="5">
      <formula>AND($K7&lt;&gt;"",$K7&lt;&gt;"Conforme",$K7&lt;&gt;"Sans objet",N7="")</formula>
    </cfRule>
  </conditionalFormatting>
  <dataValidations count="1">
    <dataValidation allowBlank="true" errorStyle="stop" operator="between" prompt="Conforme, Partiel, Non conforme ou Sans objet" promptTitle="Choisir" showDropDown="false" showErrorMessage="false" showInputMessage="true" sqref="K7:K39" type="list">
      <formula1>Listes!$B$4:$B$7</formula1>
      <formula2>0</formula2>
    </dataValidation>
  </dataValidations>
  <printOptions headings="false" gridLines="false" gridLinesSet="true" horizontalCentered="false" verticalCentered="false"/>
  <pageMargins left="0.4" right="0.4" top="0.5" bottom="0.6" header="0.511811023622047" footer="0.5"/>
  <pageSetup paperSize="9" scale="100" fitToWidth="2"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J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6"/>
    <col collapsed="false" customWidth="true" hidden="false" outlineLevel="0" max="5" min="3" style="0" width="12"/>
    <col collapsed="false" customWidth="true" hidden="false" outlineLevel="0" max="6" min="6" style="0" width="13"/>
    <col collapsed="false" customWidth="true" hidden="false" outlineLevel="0" max="7" min="7" style="0" width="12"/>
    <col collapsed="false" customWidth="true" hidden="false" outlineLevel="0" max="10" min="8" style="0" width="13"/>
  </cols>
  <sheetData>
    <row r="1" customFormat="false" ht="21.75" hidden="false" customHeight="true" outlineLevel="0" collapsed="false">
      <c r="A1" s="1" t="s">
        <v>174</v>
      </c>
      <c r="B1" s="2"/>
      <c r="C1" s="2"/>
      <c r="D1" s="2"/>
      <c r="E1" s="2"/>
      <c r="F1" s="2"/>
      <c r="G1" s="2"/>
      <c r="H1" s="2"/>
      <c r="I1" s="2"/>
      <c r="J1" s="2"/>
    </row>
    <row r="2" customFormat="false" ht="25.5" hidden="false" customHeight="true" outlineLevel="0" collapsed="false">
      <c r="A2" s="3" t="s">
        <v>175</v>
      </c>
    </row>
    <row r="3" customFormat="false" ht="15" hidden="false" customHeight="false" outlineLevel="0" collapsed="false">
      <c r="A3" s="36" t="str">
        <f aca="false">"Organisme : "&amp;IF(Profil!$C$6="","(à renseigner)",Profil!$C$6)&amp;"   ·   catégories : "&amp;TRIM(IF(Profil!$C$11="Oui","AF ","")&amp;IF(Profil!$C$12="Oui","BC ","")&amp;IF(Profil!$C$13="Oui","VAE ","")&amp;IF(Profil!$C$14="Oui","CFA",""))</f>
        <v>Organisme : (à renseigner)   ·   catégories : </v>
      </c>
      <c r="B3" s="36"/>
      <c r="C3" s="36"/>
      <c r="D3" s="36"/>
      <c r="E3" s="36"/>
      <c r="F3" s="36"/>
      <c r="G3" s="36"/>
      <c r="H3" s="37" t="s">
        <v>176</v>
      </c>
      <c r="I3" s="37"/>
      <c r="J3" s="38" t="str">
        <f aca="false">IF(Profil!$C$9="","",Profil!$C$9)</f>
        <v/>
      </c>
    </row>
    <row r="5" customFormat="false" ht="19.5" hidden="false" customHeight="true" outlineLevel="0" collapsed="false">
      <c r="A5" s="11" t="s">
        <v>177</v>
      </c>
      <c r="B5" s="11"/>
      <c r="C5" s="11"/>
      <c r="D5" s="11"/>
      <c r="E5" s="11"/>
      <c r="F5" s="11"/>
      <c r="G5" s="11"/>
      <c r="H5" s="11"/>
      <c r="I5" s="11"/>
      <c r="J5" s="11"/>
    </row>
    <row r="6" customFormat="false" ht="18.75" hidden="false" customHeight="true" outlineLevel="0" collapsed="false">
      <c r="A6" s="39"/>
      <c r="B6" s="12" t="s">
        <v>178</v>
      </c>
      <c r="C6" s="19" t="n">
        <f aca="false">COUNTA(Diagnostic!$B$7:$B$39)</f>
        <v>33</v>
      </c>
      <c r="D6" s="40" t="s">
        <v>179</v>
      </c>
      <c r="E6" s="40"/>
      <c r="F6" s="40"/>
      <c r="G6" s="40"/>
      <c r="H6" s="40"/>
      <c r="I6" s="40"/>
      <c r="J6" s="40"/>
    </row>
    <row r="7" customFormat="false" ht="18.75" hidden="false" customHeight="true" outlineLevel="0" collapsed="false">
      <c r="A7" s="39"/>
      <c r="B7" s="12" t="s">
        <v>67</v>
      </c>
      <c r="C7" s="19" t="n">
        <f aca="false">COUNTIF(Diagnostic!$J$7:$J$39,"Oui")</f>
        <v>0</v>
      </c>
      <c r="D7" s="40" t="s">
        <v>180</v>
      </c>
      <c r="E7" s="40"/>
      <c r="F7" s="40"/>
      <c r="G7" s="40"/>
      <c r="H7" s="40"/>
      <c r="I7" s="40"/>
      <c r="J7" s="40"/>
    </row>
    <row r="8" customFormat="false" ht="18.75" hidden="false" customHeight="true" outlineLevel="0" collapsed="false">
      <c r="A8" s="39"/>
      <c r="B8" s="12" t="s">
        <v>181</v>
      </c>
      <c r="C8" s="19" t="n">
        <f aca="false">COUNTIFS(Diagnostic!$J$7:$J$39,"Oui",Diagnostic!$K$7:$K$39,"Sans objet")</f>
        <v>0</v>
      </c>
      <c r="D8" s="40" t="s">
        <v>182</v>
      </c>
      <c r="E8" s="40"/>
      <c r="F8" s="40"/>
      <c r="G8" s="40"/>
      <c r="H8" s="40"/>
      <c r="I8" s="40"/>
      <c r="J8" s="40"/>
    </row>
    <row r="9" customFormat="false" ht="18.75" hidden="false" customHeight="true" outlineLevel="0" collapsed="false">
      <c r="A9" s="39"/>
      <c r="B9" s="12" t="s">
        <v>183</v>
      </c>
      <c r="C9" s="19" t="n">
        <f aca="false">C7-C8</f>
        <v>0</v>
      </c>
    </row>
    <row r="10" customFormat="false" ht="18.75" hidden="false" customHeight="true" outlineLevel="0" collapsed="false">
      <c r="A10" s="39"/>
      <c r="B10" s="12" t="s">
        <v>184</v>
      </c>
      <c r="C10" s="19" t="n">
        <f aca="false">COUNTIFS(Diagnostic!$J$7:$J$39,"Oui",Diagnostic!$K$7:$K$39,"Conforme")</f>
        <v>0</v>
      </c>
    </row>
    <row r="11" customFormat="false" ht="18.75" hidden="false" customHeight="true" outlineLevel="0" collapsed="false">
      <c r="A11" s="39"/>
      <c r="B11" s="12" t="s">
        <v>185</v>
      </c>
      <c r="C11" s="19" t="n">
        <f aca="false">COUNTIFS(Diagnostic!$J$7:$J$39,"Oui",Diagnostic!$K$7:$K$39,"Partiel")</f>
        <v>0</v>
      </c>
    </row>
    <row r="12" customFormat="false" ht="18.75" hidden="false" customHeight="true" outlineLevel="0" collapsed="false">
      <c r="A12" s="39"/>
      <c r="B12" s="12" t="s">
        <v>186</v>
      </c>
      <c r="C12" s="19" t="n">
        <f aca="false">COUNTIFS(Diagnostic!$J$7:$J$39,"Oui",Diagnostic!$K$7:$K$39,"Non conforme")</f>
        <v>0</v>
      </c>
    </row>
    <row r="13" customFormat="false" ht="18.75" hidden="false" customHeight="true" outlineLevel="0" collapsed="false">
      <c r="A13" s="39"/>
      <c r="B13" s="12" t="s">
        <v>187</v>
      </c>
      <c r="C13" s="19" t="n">
        <f aca="false">C9-C10-C11-C12</f>
        <v>0</v>
      </c>
    </row>
    <row r="14" customFormat="false" ht="18.75" hidden="false" customHeight="true" outlineLevel="0" collapsed="false">
      <c r="A14" s="39"/>
      <c r="B14" s="12" t="s">
        <v>188</v>
      </c>
      <c r="C14" s="41" t="str">
        <f aca="false">IF(C9=0,"",C10/C9)</f>
        <v/>
      </c>
      <c r="D14" s="40" t="s">
        <v>189</v>
      </c>
      <c r="E14" s="40"/>
      <c r="F14" s="40"/>
      <c r="G14" s="40"/>
      <c r="H14" s="40"/>
      <c r="I14" s="40"/>
      <c r="J14" s="40"/>
    </row>
    <row r="15" customFormat="false" ht="18.75" hidden="false" customHeight="true" outlineLevel="0" collapsed="false">
      <c r="A15" s="39"/>
      <c r="B15" s="12" t="s">
        <v>190</v>
      </c>
      <c r="C15" s="41" t="str">
        <f aca="false">IF(C9=0,"",(C10+C11+C12)/C9)</f>
        <v/>
      </c>
    </row>
    <row r="17" customFormat="false" ht="19.5" hidden="false" customHeight="true" outlineLevel="0" collapsed="false">
      <c r="A17" s="17" t="s">
        <v>191</v>
      </c>
      <c r="B17" s="17"/>
      <c r="C17" s="17"/>
      <c r="D17" s="17"/>
      <c r="E17" s="17"/>
      <c r="F17" s="17"/>
      <c r="G17" s="17"/>
      <c r="H17" s="17"/>
      <c r="I17" s="17"/>
      <c r="J17" s="17"/>
    </row>
    <row r="18" customFormat="false" ht="18.75" hidden="false" customHeight="true" outlineLevel="0" collapsed="false">
      <c r="A18" s="39"/>
      <c r="B18" s="12" t="s">
        <v>192</v>
      </c>
      <c r="C18" s="19" t="n">
        <f aca="false">COUNTIF(Diagnostic!$L$7:$L$39,"Majeure probable")</f>
        <v>0</v>
      </c>
      <c r="D18" s="40" t="s">
        <v>193</v>
      </c>
      <c r="E18" s="40"/>
      <c r="F18" s="40"/>
      <c r="G18" s="40"/>
      <c r="H18" s="40"/>
      <c r="I18" s="40"/>
      <c r="J18" s="40"/>
    </row>
    <row r="19" customFormat="false" ht="30" hidden="false" customHeight="true" outlineLevel="0" collapsed="false">
      <c r="A19" s="39"/>
      <c r="B19" s="12" t="s">
        <v>194</v>
      </c>
      <c r="C19" s="19" t="n">
        <f aca="false">COUNTIFS(Diagnostic!$J$7:$J$39,"Oui",Diagnostic!$G$7:$G$39,"Majeure seulement",Diagnostic!$K$7:$K$39,"Partiel")+COUNTIFS(Diagnostic!$J$7:$J$39,"Oui",Diagnostic!$G$7:$G$39,"Majeure seulement",Diagnostic!$K$7:$K$39,"Non conforme")</f>
        <v>0</v>
      </c>
      <c r="D19" s="40" t="s">
        <v>195</v>
      </c>
      <c r="E19" s="40"/>
      <c r="F19" s="40"/>
      <c r="G19" s="40"/>
      <c r="H19" s="40"/>
      <c r="I19" s="40"/>
      <c r="J19" s="40"/>
    </row>
    <row r="20" customFormat="false" ht="18.75" hidden="false" customHeight="true" outlineLevel="0" collapsed="false">
      <c r="A20" s="39"/>
      <c r="B20" s="12" t="s">
        <v>196</v>
      </c>
      <c r="C20" s="19" t="n">
        <f aca="false">COUNTIFS(Diagnostic!$J$7:$J$39,"Oui",Diagnostic!$G$7:$G$39,"Mineure ou majeure",Diagnostic!$K$7:$K$39,"Non conforme")</f>
        <v>0</v>
      </c>
      <c r="D20" s="40" t="s">
        <v>197</v>
      </c>
      <c r="E20" s="40"/>
      <c r="F20" s="40"/>
      <c r="G20" s="40"/>
      <c r="H20" s="40"/>
      <c r="I20" s="40"/>
      <c r="J20" s="40"/>
    </row>
    <row r="21" customFormat="false" ht="18.75" hidden="false" customHeight="true" outlineLevel="0" collapsed="false">
      <c r="A21" s="39"/>
      <c r="B21" s="12" t="s">
        <v>198</v>
      </c>
      <c r="C21" s="19" t="n">
        <f aca="false">COUNTIF(Diagnostic!$L$7:$L$39,"Mineure probable")</f>
        <v>0</v>
      </c>
      <c r="D21" s="40" t="s">
        <v>199</v>
      </c>
      <c r="E21" s="40"/>
      <c r="F21" s="40"/>
      <c r="G21" s="40"/>
      <c r="H21" s="40"/>
      <c r="I21" s="40"/>
      <c r="J21" s="40"/>
    </row>
    <row r="22" customFormat="false" ht="15" hidden="false" customHeight="true" outlineLevel="0" collapsed="false">
      <c r="A22" s="39"/>
      <c r="B22" s="12" t="s">
        <v>200</v>
      </c>
      <c r="C22" s="42" t="n">
        <v>1</v>
      </c>
      <c r="D22" s="40" t="s">
        <v>201</v>
      </c>
      <c r="E22" s="40"/>
      <c r="F22" s="40"/>
      <c r="G22" s="40"/>
      <c r="H22" s="40"/>
      <c r="I22" s="40"/>
      <c r="J22" s="40"/>
    </row>
    <row r="23" customFormat="false" ht="15" hidden="false" customHeight="true" outlineLevel="0" collapsed="false">
      <c r="A23" s="39"/>
      <c r="B23" s="12" t="s">
        <v>202</v>
      </c>
      <c r="C23" s="42" t="n">
        <v>3</v>
      </c>
      <c r="D23" s="40" t="s">
        <v>203</v>
      </c>
      <c r="E23" s="40"/>
      <c r="F23" s="40"/>
      <c r="G23" s="40"/>
      <c r="H23" s="40"/>
      <c r="I23" s="40"/>
      <c r="J23" s="40"/>
    </row>
    <row r="24" customFormat="false" ht="24" hidden="false" customHeight="true" outlineLevel="0" collapsed="false">
      <c r="A24" s="39"/>
      <c r="B24" s="12" t="s">
        <v>204</v>
      </c>
      <c r="C24" s="20" t="str">
        <f aca="false">IF(C9=0,"Renseignez l’onglet Profil puis évaluez les indicateurs dans l’onglet Diagnostic.",IF(C18&gt;=C23,"ROUGE : "&amp;C18&amp;" points à risque de non-conformité majeure, plan d’action prioritaire avant l’audit",IF(C18&gt;=C22,"ORANGE : "&amp;C18&amp;" point(s) à risque de non-conformité majeure, à corriger avant l’audit",IF(C21&gt;0,"JAUNE : aucun point à risque majeur, "&amp;C21&amp;" point(s) mineur(s) à corriger","VERT : aucun écart relevé sur les indicateurs évalués"))))</f>
        <v>Renseignez l’onglet Profil puis évaluez les indicateurs dans l’onglet Diagnostic.</v>
      </c>
      <c r="D24" s="20"/>
      <c r="E24" s="20"/>
      <c r="F24" s="20"/>
      <c r="G24" s="20"/>
      <c r="H24" s="20"/>
      <c r="I24" s="20"/>
      <c r="J24" s="20"/>
    </row>
    <row r="25" customFormat="false" ht="21.75" hidden="false" customHeight="true" outlineLevel="0" collapsed="false">
      <c r="A25" s="39"/>
      <c r="B25" s="12" t="s">
        <v>205</v>
      </c>
      <c r="C25" s="43" t="str">
        <f aca="false">IF(C9=0,"",IF(C13&gt;0,"Provisoire : "&amp;C13&amp;" indicateur(s) restent à évaluer, le niveau peut changer.","Auto-diagnostic complet : tous les indicateurs retenus sont évalués."))</f>
        <v/>
      </c>
      <c r="D25" s="43"/>
      <c r="E25" s="43"/>
      <c r="F25" s="43"/>
      <c r="G25" s="43"/>
      <c r="H25" s="43"/>
      <c r="I25" s="43"/>
      <c r="J25" s="43"/>
    </row>
    <row r="26" customFormat="false" ht="21.75" hidden="false" customHeight="true" outlineLevel="0" collapsed="false">
      <c r="A26" s="39"/>
      <c r="B26" s="12" t="s">
        <v>58</v>
      </c>
      <c r="C26" s="43" t="str">
        <f aca="false">IF(Profil!$C$22="Oui","Oui : "&amp;COUNTIFS(Diagnostic!$J$7:$J$39,"Oui",Diagnostic!$H$7:$H$39,"Oui")&amp;" de vos indicateurs applicables sont audités en deux temps (formalisation à l’audit initial, mise en œuvre à l’audit de surveillance).",IF(Profil!$C$22="Non","Non : tous vos indicateurs applicables sont audités sur la mise en œuvre.",""))</f>
        <v/>
      </c>
      <c r="D26" s="43"/>
      <c r="E26" s="43"/>
      <c r="F26" s="43"/>
      <c r="G26" s="43"/>
      <c r="H26" s="43"/>
      <c r="I26" s="43"/>
      <c r="J26" s="43"/>
    </row>
    <row r="28" customFormat="false" ht="19.5" hidden="false" customHeight="true" outlineLevel="0" collapsed="false">
      <c r="A28" s="11" t="s">
        <v>206</v>
      </c>
      <c r="B28" s="11"/>
      <c r="C28" s="11"/>
      <c r="D28" s="11"/>
      <c r="E28" s="11"/>
      <c r="F28" s="11"/>
      <c r="G28" s="11"/>
      <c r="H28" s="11"/>
      <c r="I28" s="11"/>
      <c r="J28" s="11"/>
    </row>
    <row r="29" customFormat="false" ht="31.5" hidden="false" customHeight="true" outlineLevel="0" collapsed="false">
      <c r="A29" s="21" t="s">
        <v>80</v>
      </c>
      <c r="B29" s="21" t="s">
        <v>207</v>
      </c>
      <c r="C29" s="21" t="s">
        <v>208</v>
      </c>
      <c r="D29" s="21" t="s">
        <v>184</v>
      </c>
      <c r="E29" s="21" t="s">
        <v>185</v>
      </c>
      <c r="F29" s="21" t="s">
        <v>186</v>
      </c>
      <c r="G29" s="21" t="s">
        <v>209</v>
      </c>
      <c r="H29" s="21" t="s">
        <v>210</v>
      </c>
      <c r="I29" s="21" t="s">
        <v>211</v>
      </c>
      <c r="J29" s="21" t="s">
        <v>212</v>
      </c>
    </row>
    <row r="30" customFormat="false" ht="19.5" hidden="false" customHeight="true" outlineLevel="0" collapsed="false">
      <c r="A30" s="44" t="n">
        <v>1</v>
      </c>
      <c r="B30" s="12" t="s">
        <v>213</v>
      </c>
      <c r="C30" s="45" t="n">
        <f aca="false">COUNTIFS(Diagnostic!$A$7:$A$39,$A30,Diagnostic!$J$7:$J$39,"Oui")-COUNTIFS(Diagnostic!$A$7:$A$39,$A30,Diagnostic!$J$7:$J$39,"Oui",Diagnostic!$K$7:$K$39,"Sans objet")</f>
        <v>0</v>
      </c>
      <c r="D30" s="45" t="n">
        <f aca="false">COUNTIFS(Diagnostic!$A$7:$A$39,$A30,Diagnostic!$J$7:$J$39,"Oui",Diagnostic!$K$7:$K$39,"Conforme")</f>
        <v>0</v>
      </c>
      <c r="E30" s="45" t="n">
        <f aca="false">COUNTIFS(Diagnostic!$A$7:$A$39,$A30,Diagnostic!$J$7:$J$39,"Oui",Diagnostic!$K$7:$K$39,"Partiel")</f>
        <v>0</v>
      </c>
      <c r="F30" s="45" t="n">
        <f aca="false">COUNTIFS(Diagnostic!$A$7:$A$39,$A30,Diagnostic!$J$7:$J$39,"Oui",Diagnostic!$K$7:$K$39,"Non conforme")</f>
        <v>0</v>
      </c>
      <c r="G30" s="45" t="n">
        <f aca="false">C30-D30-E30-F30</f>
        <v>0</v>
      </c>
      <c r="H30" s="41" t="str">
        <f aca="false">IF(C30=0,"",D30/C30)</f>
        <v/>
      </c>
      <c r="I30" s="45" t="n">
        <f aca="false">COUNTIFS(Diagnostic!$A$7:$A$39,$A30,Diagnostic!$L$7:$L$39,"Majeure probable")</f>
        <v>0</v>
      </c>
      <c r="J30" s="45" t="n">
        <f aca="false">COUNTIFS(Diagnostic!$A$7:$A$39,$A30,Diagnostic!$L$7:$L$39,"Mineure probable")</f>
        <v>0</v>
      </c>
    </row>
    <row r="31" customFormat="false" ht="19.5" hidden="false" customHeight="true" outlineLevel="0" collapsed="false">
      <c r="A31" s="44" t="n">
        <v>2</v>
      </c>
      <c r="B31" s="12" t="s">
        <v>214</v>
      </c>
      <c r="C31" s="45" t="n">
        <f aca="false">COUNTIFS(Diagnostic!$A$7:$A$39,$A31,Diagnostic!$J$7:$J$39,"Oui")-COUNTIFS(Diagnostic!$A$7:$A$39,$A31,Diagnostic!$J$7:$J$39,"Oui",Diagnostic!$K$7:$K$39,"Sans objet")</f>
        <v>0</v>
      </c>
      <c r="D31" s="45" t="n">
        <f aca="false">COUNTIFS(Diagnostic!$A$7:$A$39,$A31,Diagnostic!$J$7:$J$39,"Oui",Diagnostic!$K$7:$K$39,"Conforme")</f>
        <v>0</v>
      </c>
      <c r="E31" s="45" t="n">
        <f aca="false">COUNTIFS(Diagnostic!$A$7:$A$39,$A31,Diagnostic!$J$7:$J$39,"Oui",Diagnostic!$K$7:$K$39,"Partiel")</f>
        <v>0</v>
      </c>
      <c r="F31" s="45" t="n">
        <f aca="false">COUNTIFS(Diagnostic!$A$7:$A$39,$A31,Diagnostic!$J$7:$J$39,"Oui",Diagnostic!$K$7:$K$39,"Non conforme")</f>
        <v>0</v>
      </c>
      <c r="G31" s="45" t="n">
        <f aca="false">C31-D31-E31-F31</f>
        <v>0</v>
      </c>
      <c r="H31" s="41" t="str">
        <f aca="false">IF(C31=0,"",D31/C31)</f>
        <v/>
      </c>
      <c r="I31" s="45" t="n">
        <f aca="false">COUNTIFS(Diagnostic!$A$7:$A$39,$A31,Diagnostic!$L$7:$L$39,"Majeure probable")</f>
        <v>0</v>
      </c>
      <c r="J31" s="45" t="n">
        <f aca="false">COUNTIFS(Diagnostic!$A$7:$A$39,$A31,Diagnostic!$L$7:$L$39,"Mineure probable")</f>
        <v>0</v>
      </c>
    </row>
    <row r="32" customFormat="false" ht="19.5" hidden="false" customHeight="true" outlineLevel="0" collapsed="false">
      <c r="A32" s="44" t="n">
        <v>3</v>
      </c>
      <c r="B32" s="12" t="s">
        <v>215</v>
      </c>
      <c r="C32" s="45" t="n">
        <f aca="false">COUNTIFS(Diagnostic!$A$7:$A$39,$A32,Diagnostic!$J$7:$J$39,"Oui")-COUNTIFS(Diagnostic!$A$7:$A$39,$A32,Diagnostic!$J$7:$J$39,"Oui",Diagnostic!$K$7:$K$39,"Sans objet")</f>
        <v>0</v>
      </c>
      <c r="D32" s="45" t="n">
        <f aca="false">COUNTIFS(Diagnostic!$A$7:$A$39,$A32,Diagnostic!$J$7:$J$39,"Oui",Diagnostic!$K$7:$K$39,"Conforme")</f>
        <v>0</v>
      </c>
      <c r="E32" s="45" t="n">
        <f aca="false">COUNTIFS(Diagnostic!$A$7:$A$39,$A32,Diagnostic!$J$7:$J$39,"Oui",Diagnostic!$K$7:$K$39,"Partiel")</f>
        <v>0</v>
      </c>
      <c r="F32" s="45" t="n">
        <f aca="false">COUNTIFS(Diagnostic!$A$7:$A$39,$A32,Diagnostic!$J$7:$J$39,"Oui",Diagnostic!$K$7:$K$39,"Non conforme")</f>
        <v>0</v>
      </c>
      <c r="G32" s="45" t="n">
        <f aca="false">C32-D32-E32-F32</f>
        <v>0</v>
      </c>
      <c r="H32" s="41" t="str">
        <f aca="false">IF(C32=0,"",D32/C32)</f>
        <v/>
      </c>
      <c r="I32" s="45" t="n">
        <f aca="false">COUNTIFS(Diagnostic!$A$7:$A$39,$A32,Diagnostic!$L$7:$L$39,"Majeure probable")</f>
        <v>0</v>
      </c>
      <c r="J32" s="45" t="n">
        <f aca="false">COUNTIFS(Diagnostic!$A$7:$A$39,$A32,Diagnostic!$L$7:$L$39,"Mineure probable")</f>
        <v>0</v>
      </c>
    </row>
    <row r="33" customFormat="false" ht="19.5" hidden="false" customHeight="true" outlineLevel="0" collapsed="false">
      <c r="A33" s="44" t="n">
        <v>4</v>
      </c>
      <c r="B33" s="12" t="s">
        <v>216</v>
      </c>
      <c r="C33" s="45" t="n">
        <f aca="false">COUNTIFS(Diagnostic!$A$7:$A$39,$A33,Diagnostic!$J$7:$J$39,"Oui")-COUNTIFS(Diagnostic!$A$7:$A$39,$A33,Diagnostic!$J$7:$J$39,"Oui",Diagnostic!$K$7:$K$39,"Sans objet")</f>
        <v>0</v>
      </c>
      <c r="D33" s="45" t="n">
        <f aca="false">COUNTIFS(Diagnostic!$A$7:$A$39,$A33,Diagnostic!$J$7:$J$39,"Oui",Diagnostic!$K$7:$K$39,"Conforme")</f>
        <v>0</v>
      </c>
      <c r="E33" s="45" t="n">
        <f aca="false">COUNTIFS(Diagnostic!$A$7:$A$39,$A33,Diagnostic!$J$7:$J$39,"Oui",Diagnostic!$K$7:$K$39,"Partiel")</f>
        <v>0</v>
      </c>
      <c r="F33" s="45" t="n">
        <f aca="false">COUNTIFS(Diagnostic!$A$7:$A$39,$A33,Diagnostic!$J$7:$J$39,"Oui",Diagnostic!$K$7:$K$39,"Non conforme")</f>
        <v>0</v>
      </c>
      <c r="G33" s="45" t="n">
        <f aca="false">C33-D33-E33-F33</f>
        <v>0</v>
      </c>
      <c r="H33" s="41" t="str">
        <f aca="false">IF(C33=0,"",D33/C33)</f>
        <v/>
      </c>
      <c r="I33" s="45" t="n">
        <f aca="false">COUNTIFS(Diagnostic!$A$7:$A$39,$A33,Diagnostic!$L$7:$L$39,"Majeure probable")</f>
        <v>0</v>
      </c>
      <c r="J33" s="45" t="n">
        <f aca="false">COUNTIFS(Diagnostic!$A$7:$A$39,$A33,Diagnostic!$L$7:$L$39,"Mineure probable")</f>
        <v>0</v>
      </c>
    </row>
    <row r="34" customFormat="false" ht="19.5" hidden="false" customHeight="true" outlineLevel="0" collapsed="false">
      <c r="A34" s="44" t="n">
        <v>5</v>
      </c>
      <c r="B34" s="12" t="s">
        <v>217</v>
      </c>
      <c r="C34" s="45" t="n">
        <f aca="false">COUNTIFS(Diagnostic!$A$7:$A$39,$A34,Diagnostic!$J$7:$J$39,"Oui")-COUNTIFS(Diagnostic!$A$7:$A$39,$A34,Diagnostic!$J$7:$J$39,"Oui",Diagnostic!$K$7:$K$39,"Sans objet")</f>
        <v>0</v>
      </c>
      <c r="D34" s="45" t="n">
        <f aca="false">COUNTIFS(Diagnostic!$A$7:$A$39,$A34,Diagnostic!$J$7:$J$39,"Oui",Diagnostic!$K$7:$K$39,"Conforme")</f>
        <v>0</v>
      </c>
      <c r="E34" s="45" t="n">
        <f aca="false">COUNTIFS(Diagnostic!$A$7:$A$39,$A34,Diagnostic!$J$7:$J$39,"Oui",Diagnostic!$K$7:$K$39,"Partiel")</f>
        <v>0</v>
      </c>
      <c r="F34" s="45" t="n">
        <f aca="false">COUNTIFS(Diagnostic!$A$7:$A$39,$A34,Diagnostic!$J$7:$J$39,"Oui",Diagnostic!$K$7:$K$39,"Non conforme")</f>
        <v>0</v>
      </c>
      <c r="G34" s="45" t="n">
        <f aca="false">C34-D34-E34-F34</f>
        <v>0</v>
      </c>
      <c r="H34" s="41" t="str">
        <f aca="false">IF(C34=0,"",D34/C34)</f>
        <v/>
      </c>
      <c r="I34" s="45" t="n">
        <f aca="false">COUNTIFS(Diagnostic!$A$7:$A$39,$A34,Diagnostic!$L$7:$L$39,"Majeure probable")</f>
        <v>0</v>
      </c>
      <c r="J34" s="45" t="n">
        <f aca="false">COUNTIFS(Diagnostic!$A$7:$A$39,$A34,Diagnostic!$L$7:$L$39,"Mineure probable")</f>
        <v>0</v>
      </c>
    </row>
    <row r="35" customFormat="false" ht="19.5" hidden="false" customHeight="true" outlineLevel="0" collapsed="false">
      <c r="A35" s="44" t="n">
        <v>6</v>
      </c>
      <c r="B35" s="12" t="s">
        <v>218</v>
      </c>
      <c r="C35" s="45" t="n">
        <f aca="false">COUNTIFS(Diagnostic!$A$7:$A$39,$A35,Diagnostic!$J$7:$J$39,"Oui")-COUNTIFS(Diagnostic!$A$7:$A$39,$A35,Diagnostic!$J$7:$J$39,"Oui",Diagnostic!$K$7:$K$39,"Sans objet")</f>
        <v>0</v>
      </c>
      <c r="D35" s="45" t="n">
        <f aca="false">COUNTIFS(Diagnostic!$A$7:$A$39,$A35,Diagnostic!$J$7:$J$39,"Oui",Diagnostic!$K$7:$K$39,"Conforme")</f>
        <v>0</v>
      </c>
      <c r="E35" s="45" t="n">
        <f aca="false">COUNTIFS(Diagnostic!$A$7:$A$39,$A35,Diagnostic!$J$7:$J$39,"Oui",Diagnostic!$K$7:$K$39,"Partiel")</f>
        <v>0</v>
      </c>
      <c r="F35" s="45" t="n">
        <f aca="false">COUNTIFS(Diagnostic!$A$7:$A$39,$A35,Diagnostic!$J$7:$J$39,"Oui",Diagnostic!$K$7:$K$39,"Non conforme")</f>
        <v>0</v>
      </c>
      <c r="G35" s="45" t="n">
        <f aca="false">C35-D35-E35-F35</f>
        <v>0</v>
      </c>
      <c r="H35" s="41" t="str">
        <f aca="false">IF(C35=0,"",D35/C35)</f>
        <v/>
      </c>
      <c r="I35" s="45" t="n">
        <f aca="false">COUNTIFS(Diagnostic!$A$7:$A$39,$A35,Diagnostic!$L$7:$L$39,"Majeure probable")</f>
        <v>0</v>
      </c>
      <c r="J35" s="45" t="n">
        <f aca="false">COUNTIFS(Diagnostic!$A$7:$A$39,$A35,Diagnostic!$L$7:$L$39,"Mineure probable")</f>
        <v>0</v>
      </c>
    </row>
    <row r="36" customFormat="false" ht="19.5" hidden="false" customHeight="true" outlineLevel="0" collapsed="false">
      <c r="A36" s="44" t="n">
        <v>7</v>
      </c>
      <c r="B36" s="12" t="s">
        <v>219</v>
      </c>
      <c r="C36" s="45" t="n">
        <f aca="false">COUNTIFS(Diagnostic!$A$7:$A$39,$A36,Diagnostic!$J$7:$J$39,"Oui")-COUNTIFS(Diagnostic!$A$7:$A$39,$A36,Diagnostic!$J$7:$J$39,"Oui",Diagnostic!$K$7:$K$39,"Sans objet")</f>
        <v>0</v>
      </c>
      <c r="D36" s="45" t="n">
        <f aca="false">COUNTIFS(Diagnostic!$A$7:$A$39,$A36,Diagnostic!$J$7:$J$39,"Oui",Diagnostic!$K$7:$K$39,"Conforme")</f>
        <v>0</v>
      </c>
      <c r="E36" s="45" t="n">
        <f aca="false">COUNTIFS(Diagnostic!$A$7:$A$39,$A36,Diagnostic!$J$7:$J$39,"Oui",Diagnostic!$K$7:$K$39,"Partiel")</f>
        <v>0</v>
      </c>
      <c r="F36" s="45" t="n">
        <f aca="false">COUNTIFS(Diagnostic!$A$7:$A$39,$A36,Diagnostic!$J$7:$J$39,"Oui",Diagnostic!$K$7:$K$39,"Non conforme")</f>
        <v>0</v>
      </c>
      <c r="G36" s="45" t="n">
        <f aca="false">C36-D36-E36-F36</f>
        <v>0</v>
      </c>
      <c r="H36" s="41" t="str">
        <f aca="false">IF(C36=0,"",D36/C36)</f>
        <v/>
      </c>
      <c r="I36" s="45" t="n">
        <f aca="false">COUNTIFS(Diagnostic!$A$7:$A$39,$A36,Diagnostic!$L$7:$L$39,"Majeure probable")</f>
        <v>0</v>
      </c>
      <c r="J36" s="45" t="n">
        <f aca="false">COUNTIFS(Diagnostic!$A$7:$A$39,$A36,Diagnostic!$L$7:$L$39,"Mineure probable")</f>
        <v>0</v>
      </c>
    </row>
    <row r="37" customFormat="false" ht="19.5" hidden="false" customHeight="true" outlineLevel="0" collapsed="false">
      <c r="A37" s="46"/>
      <c r="B37" s="46" t="s">
        <v>220</v>
      </c>
      <c r="C37" s="47" t="n">
        <f aca="false">SUM(C30:C36)</f>
        <v>0</v>
      </c>
      <c r="D37" s="47" t="n">
        <f aca="false">SUM(D30:D36)</f>
        <v>0</v>
      </c>
      <c r="E37" s="47" t="n">
        <f aca="false">SUM(E30:E36)</f>
        <v>0</v>
      </c>
      <c r="F37" s="47" t="n">
        <f aca="false">SUM(F30:F36)</f>
        <v>0</v>
      </c>
      <c r="G37" s="47" t="n">
        <f aca="false">SUM(G30:G36)</f>
        <v>0</v>
      </c>
      <c r="H37" s="48" t="str">
        <f aca="false">IF(C37=0,"",D37/C37)</f>
        <v/>
      </c>
      <c r="I37" s="47" t="n">
        <f aca="false">SUM(I30:I36)</f>
        <v>0</v>
      </c>
      <c r="J37" s="47" t="n">
        <f aca="false">SUM(J30:J36)</f>
        <v>0</v>
      </c>
    </row>
    <row r="39" customFormat="false" ht="19.5" hidden="false" customHeight="true" outlineLevel="0" collapsed="false">
      <c r="A39" s="17" t="s">
        <v>221</v>
      </c>
      <c r="B39" s="17"/>
      <c r="C39" s="17"/>
      <c r="D39" s="17"/>
      <c r="E39" s="17"/>
      <c r="F39" s="17"/>
      <c r="G39" s="17"/>
      <c r="H39" s="17"/>
      <c r="I39" s="17"/>
      <c r="J39" s="17"/>
    </row>
    <row r="57" customFormat="false" ht="19.5" hidden="false" customHeight="true" outlineLevel="0" collapsed="false">
      <c r="A57" s="11" t="s">
        <v>222</v>
      </c>
      <c r="B57" s="11"/>
      <c r="C57" s="11"/>
      <c r="D57" s="11"/>
      <c r="E57" s="11"/>
      <c r="F57" s="11"/>
      <c r="G57" s="11"/>
      <c r="H57" s="11"/>
      <c r="I57" s="11"/>
      <c r="J57" s="11"/>
    </row>
    <row r="58" customFormat="false" ht="24" hidden="false" customHeight="true" outlineLevel="0" collapsed="false">
      <c r="A58" s="21" t="s">
        <v>223</v>
      </c>
      <c r="B58" s="21" t="s">
        <v>224</v>
      </c>
      <c r="C58" s="21" t="s">
        <v>89</v>
      </c>
      <c r="D58" s="21" t="s">
        <v>93</v>
      </c>
      <c r="E58" s="21"/>
      <c r="F58" s="21"/>
      <c r="G58" s="21"/>
      <c r="H58" s="21" t="s">
        <v>94</v>
      </c>
      <c r="I58" s="21"/>
      <c r="J58" s="21" t="s">
        <v>95</v>
      </c>
    </row>
    <row r="59" customFormat="false" ht="36" hidden="false" customHeight="true" outlineLevel="0" collapsed="false">
      <c r="A59" s="49" t="n">
        <v>1</v>
      </c>
      <c r="B59" s="50" t="str">
        <f aca="false">IFERROR("Ind. "&amp;INDEX(Diagnostic!$B$7:$B$39,MATCH($A59,Diagnostic!$R$7:$R$39,0))&amp;" : "&amp;INDEX(Diagnostic!$C$7:$C$39,MATCH($A59,Diagnostic!$R$7:$R$39,0)),"")</f>
        <v/>
      </c>
      <c r="C59" s="45" t="str">
        <f aca="false">IFERROR(INDEX(Diagnostic!$K$7:$K$39,MATCH($A59,Diagnostic!$R$7:$R$39,0))&amp;"","")</f>
        <v/>
      </c>
      <c r="D59" s="50" t="str">
        <f aca="false">IFERROR(INDEX(Diagnostic!$O$7:$O$39,MATCH($A59,Diagnostic!$R$7:$R$39,0))&amp;"","")</f>
        <v/>
      </c>
      <c r="E59" s="50"/>
      <c r="F59" s="50"/>
      <c r="G59" s="50"/>
      <c r="H59" s="50" t="str">
        <f aca="false">IFERROR(INDEX(Diagnostic!$P$7:$P$39,MATCH($A59,Diagnostic!$R$7:$R$39,0))&amp;"","")</f>
        <v/>
      </c>
      <c r="I59" s="50"/>
      <c r="J59" s="51" t="str">
        <f aca="false">IFERROR(IF(INDEX(Diagnostic!$Q$7:$Q$39,MATCH($A59,Diagnostic!$R$7:$R$39,0))="","",INDEX(Diagnostic!$Q$7:$Q$39,MATCH($A59,Diagnostic!$R$7:$R$39,0))),"")</f>
        <v/>
      </c>
    </row>
    <row r="60" customFormat="false" ht="36" hidden="false" customHeight="true" outlineLevel="0" collapsed="false">
      <c r="A60" s="49" t="n">
        <v>2</v>
      </c>
      <c r="B60" s="50" t="str">
        <f aca="false">IFERROR("Ind. "&amp;INDEX(Diagnostic!$B$7:$B$39,MATCH($A60,Diagnostic!$R$7:$R$39,0))&amp;" : "&amp;INDEX(Diagnostic!$C$7:$C$39,MATCH($A60,Diagnostic!$R$7:$R$39,0)),"")</f>
        <v/>
      </c>
      <c r="C60" s="45" t="str">
        <f aca="false">IFERROR(INDEX(Diagnostic!$K$7:$K$39,MATCH($A60,Diagnostic!$R$7:$R$39,0))&amp;"","")</f>
        <v/>
      </c>
      <c r="D60" s="50" t="str">
        <f aca="false">IFERROR(INDEX(Diagnostic!$O$7:$O$39,MATCH($A60,Diagnostic!$R$7:$R$39,0))&amp;"","")</f>
        <v/>
      </c>
      <c r="E60" s="50"/>
      <c r="F60" s="50"/>
      <c r="G60" s="50"/>
      <c r="H60" s="50" t="str">
        <f aca="false">IFERROR(INDEX(Diagnostic!$P$7:$P$39,MATCH($A60,Diagnostic!$R$7:$R$39,0))&amp;"","")</f>
        <v/>
      </c>
      <c r="I60" s="50"/>
      <c r="J60" s="51" t="str">
        <f aca="false">IFERROR(IF(INDEX(Diagnostic!$Q$7:$Q$39,MATCH($A60,Diagnostic!$R$7:$R$39,0))="","",INDEX(Diagnostic!$Q$7:$Q$39,MATCH($A60,Diagnostic!$R$7:$R$39,0))),"")</f>
        <v/>
      </c>
    </row>
    <row r="61" customFormat="false" ht="36" hidden="false" customHeight="true" outlineLevel="0" collapsed="false">
      <c r="A61" s="49" t="n">
        <v>3</v>
      </c>
      <c r="B61" s="50" t="str">
        <f aca="false">IFERROR("Ind. "&amp;INDEX(Diagnostic!$B$7:$B$39,MATCH($A61,Diagnostic!$R$7:$R$39,0))&amp;" : "&amp;INDEX(Diagnostic!$C$7:$C$39,MATCH($A61,Diagnostic!$R$7:$R$39,0)),"")</f>
        <v/>
      </c>
      <c r="C61" s="45" t="str">
        <f aca="false">IFERROR(INDEX(Diagnostic!$K$7:$K$39,MATCH($A61,Diagnostic!$R$7:$R$39,0))&amp;"","")</f>
        <v/>
      </c>
      <c r="D61" s="50" t="str">
        <f aca="false">IFERROR(INDEX(Diagnostic!$O$7:$O$39,MATCH($A61,Diagnostic!$R$7:$R$39,0))&amp;"","")</f>
        <v/>
      </c>
      <c r="E61" s="50"/>
      <c r="F61" s="50"/>
      <c r="G61" s="50"/>
      <c r="H61" s="50" t="str">
        <f aca="false">IFERROR(INDEX(Diagnostic!$P$7:$P$39,MATCH($A61,Diagnostic!$R$7:$R$39,0))&amp;"","")</f>
        <v/>
      </c>
      <c r="I61" s="50"/>
      <c r="J61" s="51" t="str">
        <f aca="false">IFERROR(IF(INDEX(Diagnostic!$Q$7:$Q$39,MATCH($A61,Diagnostic!$R$7:$R$39,0))="","",INDEX(Diagnostic!$Q$7:$Q$39,MATCH($A61,Diagnostic!$R$7:$R$39,0))),"")</f>
        <v/>
      </c>
    </row>
    <row r="62" customFormat="false" ht="36" hidden="false" customHeight="true" outlineLevel="0" collapsed="false">
      <c r="A62" s="49" t="n">
        <v>4</v>
      </c>
      <c r="B62" s="50" t="str">
        <f aca="false">IFERROR("Ind. "&amp;INDEX(Diagnostic!$B$7:$B$39,MATCH($A62,Diagnostic!$R$7:$R$39,0))&amp;" : "&amp;INDEX(Diagnostic!$C$7:$C$39,MATCH($A62,Diagnostic!$R$7:$R$39,0)),"")</f>
        <v/>
      </c>
      <c r="C62" s="45" t="str">
        <f aca="false">IFERROR(INDEX(Diagnostic!$K$7:$K$39,MATCH($A62,Diagnostic!$R$7:$R$39,0))&amp;"","")</f>
        <v/>
      </c>
      <c r="D62" s="50" t="str">
        <f aca="false">IFERROR(INDEX(Diagnostic!$O$7:$O$39,MATCH($A62,Diagnostic!$R$7:$R$39,0))&amp;"","")</f>
        <v/>
      </c>
      <c r="E62" s="50"/>
      <c r="F62" s="50"/>
      <c r="G62" s="50"/>
      <c r="H62" s="50" t="str">
        <f aca="false">IFERROR(INDEX(Diagnostic!$P$7:$P$39,MATCH($A62,Diagnostic!$R$7:$R$39,0))&amp;"","")</f>
        <v/>
      </c>
      <c r="I62" s="50"/>
      <c r="J62" s="51" t="str">
        <f aca="false">IFERROR(IF(INDEX(Diagnostic!$Q$7:$Q$39,MATCH($A62,Diagnostic!$R$7:$R$39,0))="","",INDEX(Diagnostic!$Q$7:$Q$39,MATCH($A62,Diagnostic!$R$7:$R$39,0))),"")</f>
        <v/>
      </c>
    </row>
    <row r="63" customFormat="false" ht="36" hidden="false" customHeight="true" outlineLevel="0" collapsed="false">
      <c r="A63" s="49" t="n">
        <v>5</v>
      </c>
      <c r="B63" s="50" t="str">
        <f aca="false">IFERROR("Ind. "&amp;INDEX(Diagnostic!$B$7:$B$39,MATCH($A63,Diagnostic!$R$7:$R$39,0))&amp;" : "&amp;INDEX(Diagnostic!$C$7:$C$39,MATCH($A63,Diagnostic!$R$7:$R$39,0)),"")</f>
        <v/>
      </c>
      <c r="C63" s="45" t="str">
        <f aca="false">IFERROR(INDEX(Diagnostic!$K$7:$K$39,MATCH($A63,Diagnostic!$R$7:$R$39,0))&amp;"","")</f>
        <v/>
      </c>
      <c r="D63" s="50" t="str">
        <f aca="false">IFERROR(INDEX(Diagnostic!$O$7:$O$39,MATCH($A63,Diagnostic!$R$7:$R$39,0))&amp;"","")</f>
        <v/>
      </c>
      <c r="E63" s="50"/>
      <c r="F63" s="50"/>
      <c r="G63" s="50"/>
      <c r="H63" s="50" t="str">
        <f aca="false">IFERROR(INDEX(Diagnostic!$P$7:$P$39,MATCH($A63,Diagnostic!$R$7:$R$39,0))&amp;"","")</f>
        <v/>
      </c>
      <c r="I63" s="50"/>
      <c r="J63" s="51" t="str">
        <f aca="false">IFERROR(IF(INDEX(Diagnostic!$Q$7:$Q$39,MATCH($A63,Diagnostic!$R$7:$R$39,0))="","",INDEX(Diagnostic!$Q$7:$Q$39,MATCH($A63,Diagnostic!$R$7:$R$39,0))),"")</f>
        <v/>
      </c>
    </row>
    <row r="64" customFormat="false" ht="36" hidden="false" customHeight="true" outlineLevel="0" collapsed="false">
      <c r="A64" s="49" t="n">
        <v>6</v>
      </c>
      <c r="B64" s="50" t="str">
        <f aca="false">IFERROR("Ind. "&amp;INDEX(Diagnostic!$B$7:$B$39,MATCH($A64,Diagnostic!$R$7:$R$39,0))&amp;" : "&amp;INDEX(Diagnostic!$C$7:$C$39,MATCH($A64,Diagnostic!$R$7:$R$39,0)),"")</f>
        <v/>
      </c>
      <c r="C64" s="45" t="str">
        <f aca="false">IFERROR(INDEX(Diagnostic!$K$7:$K$39,MATCH($A64,Diagnostic!$R$7:$R$39,0))&amp;"","")</f>
        <v/>
      </c>
      <c r="D64" s="50" t="str">
        <f aca="false">IFERROR(INDEX(Diagnostic!$O$7:$O$39,MATCH($A64,Diagnostic!$R$7:$R$39,0))&amp;"","")</f>
        <v/>
      </c>
      <c r="E64" s="50"/>
      <c r="F64" s="50"/>
      <c r="G64" s="50"/>
      <c r="H64" s="50" t="str">
        <f aca="false">IFERROR(INDEX(Diagnostic!$P$7:$P$39,MATCH($A64,Diagnostic!$R$7:$R$39,0))&amp;"","")</f>
        <v/>
      </c>
      <c r="I64" s="50"/>
      <c r="J64" s="51" t="str">
        <f aca="false">IFERROR(IF(INDEX(Diagnostic!$Q$7:$Q$39,MATCH($A64,Diagnostic!$R$7:$R$39,0))="","",INDEX(Diagnostic!$Q$7:$Q$39,MATCH($A64,Diagnostic!$R$7:$R$39,0))),"")</f>
        <v/>
      </c>
    </row>
    <row r="65" customFormat="false" ht="36" hidden="false" customHeight="true" outlineLevel="0" collapsed="false">
      <c r="A65" s="49" t="n">
        <v>7</v>
      </c>
      <c r="B65" s="50" t="str">
        <f aca="false">IFERROR("Ind. "&amp;INDEX(Diagnostic!$B$7:$B$39,MATCH($A65,Diagnostic!$R$7:$R$39,0))&amp;" : "&amp;INDEX(Diagnostic!$C$7:$C$39,MATCH($A65,Diagnostic!$R$7:$R$39,0)),"")</f>
        <v/>
      </c>
      <c r="C65" s="45" t="str">
        <f aca="false">IFERROR(INDEX(Diagnostic!$K$7:$K$39,MATCH($A65,Diagnostic!$R$7:$R$39,0))&amp;"","")</f>
        <v/>
      </c>
      <c r="D65" s="50" t="str">
        <f aca="false">IFERROR(INDEX(Diagnostic!$O$7:$O$39,MATCH($A65,Diagnostic!$R$7:$R$39,0))&amp;"","")</f>
        <v/>
      </c>
      <c r="E65" s="50"/>
      <c r="F65" s="50"/>
      <c r="G65" s="50"/>
      <c r="H65" s="50" t="str">
        <f aca="false">IFERROR(INDEX(Diagnostic!$P$7:$P$39,MATCH($A65,Diagnostic!$R$7:$R$39,0))&amp;"","")</f>
        <v/>
      </c>
      <c r="I65" s="50"/>
      <c r="J65" s="51" t="str">
        <f aca="false">IFERROR(IF(INDEX(Diagnostic!$Q$7:$Q$39,MATCH($A65,Diagnostic!$R$7:$R$39,0))="","",INDEX(Diagnostic!$Q$7:$Q$39,MATCH($A65,Diagnostic!$R$7:$R$39,0))),"")</f>
        <v/>
      </c>
    </row>
    <row r="66" customFormat="false" ht="36" hidden="false" customHeight="true" outlineLevel="0" collapsed="false">
      <c r="A66" s="49" t="n">
        <v>8</v>
      </c>
      <c r="B66" s="50" t="str">
        <f aca="false">IFERROR("Ind. "&amp;INDEX(Diagnostic!$B$7:$B$39,MATCH($A66,Diagnostic!$R$7:$R$39,0))&amp;" : "&amp;INDEX(Diagnostic!$C$7:$C$39,MATCH($A66,Diagnostic!$R$7:$R$39,0)),"")</f>
        <v/>
      </c>
      <c r="C66" s="45" t="str">
        <f aca="false">IFERROR(INDEX(Diagnostic!$K$7:$K$39,MATCH($A66,Diagnostic!$R$7:$R$39,0))&amp;"","")</f>
        <v/>
      </c>
      <c r="D66" s="50" t="str">
        <f aca="false">IFERROR(INDEX(Diagnostic!$O$7:$O$39,MATCH($A66,Diagnostic!$R$7:$R$39,0))&amp;"","")</f>
        <v/>
      </c>
      <c r="E66" s="50"/>
      <c r="F66" s="50"/>
      <c r="G66" s="50"/>
      <c r="H66" s="50" t="str">
        <f aca="false">IFERROR(INDEX(Diagnostic!$P$7:$P$39,MATCH($A66,Diagnostic!$R$7:$R$39,0))&amp;"","")</f>
        <v/>
      </c>
      <c r="I66" s="50"/>
      <c r="J66" s="51" t="str">
        <f aca="false">IFERROR(IF(INDEX(Diagnostic!$Q$7:$Q$39,MATCH($A66,Diagnostic!$R$7:$R$39,0))="","",INDEX(Diagnostic!$Q$7:$Q$39,MATCH($A66,Diagnostic!$R$7:$R$39,0))),"")</f>
        <v/>
      </c>
    </row>
    <row r="67" customFormat="false" ht="15" hidden="false" customHeight="false" outlineLevel="0" collapsed="false">
      <c r="A67" s="52" t="str">
        <f aca="false">IF(C18&gt;8,"… et "&amp;(C18-8)&amp;" autre(s) point(s) : filtrez la colonne « Écart probable » de l’onglet Diagnostic.","")</f>
        <v/>
      </c>
    </row>
    <row r="69" customFormat="false" ht="19.5" hidden="false" customHeight="true" outlineLevel="0" collapsed="false">
      <c r="A69" s="17" t="s">
        <v>225</v>
      </c>
      <c r="B69" s="17"/>
      <c r="C69" s="17"/>
      <c r="D69" s="17"/>
      <c r="E69" s="17"/>
      <c r="F69" s="17"/>
      <c r="G69" s="17"/>
      <c r="H69" s="17"/>
      <c r="I69" s="17"/>
      <c r="J69" s="17"/>
    </row>
    <row r="70" customFormat="false" ht="25.5" hidden="false" customHeight="true" outlineLevel="0" collapsed="false">
      <c r="A70" s="50" t="str">
        <f aca="false">IF(Profil!$C$23="Oui","Indicateur 12 : vos formations dépassent 2 jours, la prévention et le traitement des violences, du harcèlement et des discriminations s’appliquent : procédure, référent, information des apprenants et du personnel, traçabilité des signalements.","")</f>
        <v/>
      </c>
      <c r="B70" s="50"/>
      <c r="C70" s="50"/>
      <c r="D70" s="50"/>
      <c r="E70" s="50"/>
      <c r="F70" s="50"/>
      <c r="G70" s="50"/>
      <c r="H70" s="50"/>
      <c r="I70" s="50"/>
      <c r="J70" s="50"/>
    </row>
    <row r="71" customFormat="false" ht="25.5" hidden="false" customHeight="true" outlineLevel="0" collapsed="false">
      <c r="A71" s="50" t="str">
        <f aca="false">IF(Profil!$C$24="Oui","Indicateur 19 : prévoyez la preuve du suivi effectif des modules à distance (relances en cas d’inactivité, alertes de décrochage, statistiques de connexion ou d’avancement). Le seuil du référent pédagogique sera fixé par arrêté, non publié à ce jour.","")</f>
        <v/>
      </c>
      <c r="B71" s="50"/>
      <c r="C71" s="50"/>
      <c r="D71" s="50"/>
      <c r="E71" s="50"/>
      <c r="F71" s="50"/>
      <c r="G71" s="50"/>
      <c r="H71" s="50"/>
      <c r="I71" s="50"/>
      <c r="J71" s="50"/>
    </row>
    <row r="72" customFormat="false" ht="25.5" hidden="false" customHeight="true" outlineLevel="0" collapsed="false">
      <c r="A72" s="50" t="str">
        <f aca="false">IF(Profil!$C$20="Oui","Indicateur 27 : vérifiez que chaque contrat de sous-traitance ou de portage salarial indique les missions confiées, la conformité au référentiel et sa traçabilité.","")</f>
        <v/>
      </c>
      <c r="B72" s="50"/>
      <c r="C72" s="50"/>
      <c r="D72" s="50"/>
      <c r="E72" s="50"/>
      <c r="F72" s="50"/>
      <c r="G72" s="50"/>
      <c r="H72" s="50"/>
      <c r="I72" s="50"/>
      <c r="J72" s="50"/>
    </row>
    <row r="73" customFormat="false" ht="25.5" hidden="false" customHeight="true" outlineLevel="0" collapsed="false">
      <c r="A73" s="50" t="str">
        <f aca="false">IF(Profil!$C$17="Oui","Indicateurs 3 et 7 : taux d’obtention mis en relation avec le taux de présentation, poursuites d’études, débouchés ; habilitation ou convention avec le certificateur.","")</f>
        <v/>
      </c>
      <c r="B73" s="50"/>
      <c r="C73" s="50"/>
      <c r="D73" s="50"/>
      <c r="E73" s="50"/>
      <c r="F73" s="50"/>
      <c r="G73" s="50"/>
      <c r="H73" s="50"/>
      <c r="I73" s="50"/>
      <c r="J73" s="50"/>
    </row>
    <row r="74" customFormat="false" ht="25.5" hidden="false" customHeight="true" outlineLevel="0" collapsed="false">
      <c r="A74" s="50" t="str">
        <f aca="false">IF(Profil!$C$25="Oui","Indicateur 30 : sollicitez les financeurs au moins une fois par an ou selon leurs modalités, ou tracez votre participation à leurs webinaires ou réunions.","")</f>
        <v/>
      </c>
      <c r="B74" s="50"/>
      <c r="C74" s="50"/>
      <c r="D74" s="50"/>
      <c r="E74" s="50"/>
      <c r="F74" s="50"/>
      <c r="G74" s="50"/>
      <c r="H74" s="50"/>
      <c r="I74" s="50"/>
      <c r="J74" s="50"/>
    </row>
    <row r="75" customFormat="false" ht="25.5" hidden="false" customHeight="true" outlineLevel="0" collapsed="false">
      <c r="A75" s="50" t="str">
        <f aca="false">IF(Profil!$C$14="Oui","Apprentissage : les indicateurs 14, 15, 20 et 33 sont modifiés ou nouveaux. Le seuil de l’indicateur 20 sera fixé par arrêté, non publié à ce jour.","")</f>
        <v/>
      </c>
      <c r="B75" s="50"/>
      <c r="C75" s="50"/>
      <c r="D75" s="50"/>
      <c r="E75" s="50"/>
      <c r="F75" s="50"/>
      <c r="G75" s="50"/>
      <c r="H75" s="50"/>
      <c r="I75" s="50"/>
      <c r="J75" s="50"/>
    </row>
    <row r="76" customFormat="false" ht="25.5" hidden="false" customHeight="true" outlineLevel="0" collapsed="false">
      <c r="A76" s="50" t="str">
        <f aca="false">"Indicateur 32 : l’analyse des risques sur la qualité des formations délivrées est une nouveauté de la V10 pour tous les profils."</f>
        <v>Indicateur 32 : l’analyse des risques sur la qualité des formations délivrées est une nouveauté de la V10 pour tous les profils.</v>
      </c>
      <c r="B76" s="50"/>
      <c r="C76" s="50"/>
      <c r="D76" s="50"/>
      <c r="E76" s="50"/>
      <c r="F76" s="50"/>
      <c r="G76" s="50"/>
      <c r="H76" s="50"/>
      <c r="I76" s="50"/>
      <c r="J76" s="50"/>
    </row>
    <row r="77" customFormat="false" ht="25.5" hidden="false" customHeight="true" outlineLevel="0" collapsed="false">
      <c r="A77" s="50" t="str">
        <f aca="false">"Rappel : le guide de lecture V10 n’est pas final. Revérifiez libellés et applicabilité à sa parution."</f>
        <v>Rappel : le guide de lecture V10 n’est pas final. Revérifiez libellés et applicabilité à sa parution.</v>
      </c>
      <c r="B77" s="50"/>
      <c r="C77" s="50"/>
      <c r="D77" s="50"/>
      <c r="E77" s="50"/>
      <c r="F77" s="50"/>
      <c r="G77" s="50"/>
      <c r="H77" s="50"/>
      <c r="I77" s="50"/>
      <c r="J77" s="50"/>
    </row>
  </sheetData>
  <mergeCells count="47">
    <mergeCell ref="A3:G3"/>
    <mergeCell ref="H3:I3"/>
    <mergeCell ref="A5:J5"/>
    <mergeCell ref="D6:J6"/>
    <mergeCell ref="D7:J7"/>
    <mergeCell ref="D8:J8"/>
    <mergeCell ref="D14:J14"/>
    <mergeCell ref="A17:J17"/>
    <mergeCell ref="D18:J18"/>
    <mergeCell ref="D19:J19"/>
    <mergeCell ref="D20:J20"/>
    <mergeCell ref="D21:J21"/>
    <mergeCell ref="D22:J22"/>
    <mergeCell ref="D23:J23"/>
    <mergeCell ref="C24:J24"/>
    <mergeCell ref="C25:J25"/>
    <mergeCell ref="C26:J26"/>
    <mergeCell ref="A28:J28"/>
    <mergeCell ref="A39:J39"/>
    <mergeCell ref="A57:J57"/>
    <mergeCell ref="D58:G58"/>
    <mergeCell ref="H58:I58"/>
    <mergeCell ref="D59:G59"/>
    <mergeCell ref="H59:I59"/>
    <mergeCell ref="D60:G60"/>
    <mergeCell ref="H60:I60"/>
    <mergeCell ref="D61:G61"/>
    <mergeCell ref="H61:I61"/>
    <mergeCell ref="D62:G62"/>
    <mergeCell ref="H62:I62"/>
    <mergeCell ref="D63:G63"/>
    <mergeCell ref="H63:I63"/>
    <mergeCell ref="D64:G64"/>
    <mergeCell ref="H64:I64"/>
    <mergeCell ref="D65:G65"/>
    <mergeCell ref="H65:I65"/>
    <mergeCell ref="D66:G66"/>
    <mergeCell ref="H66:I66"/>
    <mergeCell ref="A69:J69"/>
    <mergeCell ref="A70:J70"/>
    <mergeCell ref="A71:J71"/>
    <mergeCell ref="A72:J72"/>
    <mergeCell ref="A73:J73"/>
    <mergeCell ref="A74:J74"/>
    <mergeCell ref="A75:J75"/>
    <mergeCell ref="A76:J76"/>
    <mergeCell ref="A77:J77"/>
  </mergeCells>
  <conditionalFormatting sqref="C13">
    <cfRule type="expression" priority="2" aboveAverage="0" equalAverage="0" bottom="0" percent="0" rank="0" text="" dxfId="6">
      <formula>$C$13&gt;0</formula>
    </cfRule>
  </conditionalFormatting>
  <conditionalFormatting sqref="C24:J24">
    <cfRule type="expression" priority="3" aboveAverage="0" equalAverage="0" bottom="0" percent="0" rank="0" text="" dxfId="0">
      <formula>LEFT($C$24,5)="ROUGE"</formula>
    </cfRule>
    <cfRule type="expression" priority="4" aboveAverage="0" equalAverage="0" bottom="0" percent="0" rank="0" text="" dxfId="7">
      <formula>LEFT($C$24,6)="ORANGE"</formula>
    </cfRule>
    <cfRule type="expression" priority="5" aboveAverage="0" equalAverage="0" bottom="0" percent="0" rank="0" text="" dxfId="6">
      <formula>LEFT($C$24,5)="JAUNE"</formula>
    </cfRule>
    <cfRule type="expression" priority="6" aboveAverage="0" equalAverage="0" bottom="0" percent="0" rank="0" text="" dxfId="8">
      <formula>LEFT($C$24,4)="VERT"</formula>
    </cfRule>
  </conditionalFormatting>
  <conditionalFormatting sqref="H30:H36">
    <cfRule type="expression" priority="7" aboveAverage="0" equalAverage="0" bottom="0" percent="0" rank="0" text="" dxfId="0">
      <formula>AND(ISNUMBER($H30),$H30&lt;0.5)</formula>
    </cfRule>
    <cfRule type="expression" priority="8" aboveAverage="0" equalAverage="0" bottom="0" percent="0" rank="0" text="" dxfId="8">
      <formula>AND(ISNUMBER($H30),$H30&gt;=0.8)</formula>
    </cfRule>
  </conditionalFormatting>
  <conditionalFormatting sqref="I30:I36">
    <cfRule type="expression" priority="9" aboveAverage="0" equalAverage="0" bottom="0" percent="0" rank="0" text="" dxfId="0">
      <formula>$I30&gt;0</formula>
    </cfRule>
  </conditionalFormatting>
  <conditionalFormatting sqref="J30:J36">
    <cfRule type="expression" priority="10" aboveAverage="0" equalAverage="0" bottom="0" percent="0" rank="0" text="" dxfId="2">
      <formula>$J30&gt;0</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D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0"/>
    <col collapsed="false" customWidth="true" hidden="false" outlineLevel="0" max="3" min="3" style="0" width="38"/>
    <col collapsed="false" customWidth="true" hidden="false" outlineLevel="0" max="4" min="4" style="0" width="70"/>
  </cols>
  <sheetData>
    <row r="1" customFormat="false" ht="21.75" hidden="false" customHeight="true" outlineLevel="0" collapsed="false">
      <c r="A1" s="1" t="s">
        <v>31</v>
      </c>
      <c r="B1" s="2"/>
      <c r="C1" s="2"/>
      <c r="D1" s="2"/>
    </row>
    <row r="2" customFormat="false" ht="25.5" hidden="false" customHeight="true" outlineLevel="0" collapsed="false">
      <c r="A2" s="3" t="s">
        <v>226</v>
      </c>
    </row>
    <row r="3" customFormat="false" ht="15" hidden="false" customHeight="false" outlineLevel="0" collapsed="false">
      <c r="A3" s="10" t="s">
        <v>227</v>
      </c>
    </row>
    <row r="5" customFormat="false" ht="19.5" hidden="false" customHeight="true" outlineLevel="0" collapsed="false">
      <c r="B5" s="11" t="s">
        <v>34</v>
      </c>
      <c r="C5" s="11"/>
      <c r="D5" s="11"/>
    </row>
    <row r="6" customFormat="false" ht="21.75" hidden="false" customHeight="true" outlineLevel="0" collapsed="false">
      <c r="B6" s="12" t="s">
        <v>35</v>
      </c>
      <c r="C6" s="13" t="s">
        <v>228</v>
      </c>
      <c r="D6" s="14"/>
    </row>
    <row r="7" customFormat="false" ht="21.75" hidden="false" customHeight="true" outlineLevel="0" collapsed="false">
      <c r="B7" s="12" t="s">
        <v>36</v>
      </c>
      <c r="C7" s="15" t="n">
        <v>6</v>
      </c>
      <c r="D7" s="14"/>
    </row>
    <row r="8" customFormat="false" ht="21.75" hidden="false" customHeight="true" outlineLevel="0" collapsed="false">
      <c r="B8" s="12" t="s">
        <v>37</v>
      </c>
      <c r="C8" s="13" t="s">
        <v>229</v>
      </c>
      <c r="D8" s="14"/>
    </row>
    <row r="9" customFormat="false" ht="21.75" hidden="false" customHeight="true" outlineLevel="0" collapsed="false">
      <c r="B9" s="12" t="s">
        <v>38</v>
      </c>
      <c r="C9" s="16" t="n">
        <v>46315</v>
      </c>
      <c r="D9" s="14" t="s">
        <v>39</v>
      </c>
    </row>
    <row r="10" customFormat="false" ht="19.5" hidden="false" customHeight="true" outlineLevel="0" collapsed="false">
      <c r="B10" s="17" t="s">
        <v>40</v>
      </c>
      <c r="C10" s="17"/>
      <c r="D10" s="17"/>
    </row>
    <row r="11" customFormat="false" ht="21.75" hidden="false" customHeight="true" outlineLevel="0" collapsed="false">
      <c r="B11" s="12" t="s">
        <v>41</v>
      </c>
      <c r="C11" s="15" t="s">
        <v>103</v>
      </c>
      <c r="D11" s="14" t="s">
        <v>42</v>
      </c>
    </row>
    <row r="12" customFormat="false" ht="21.75" hidden="false" customHeight="true" outlineLevel="0" collapsed="false">
      <c r="B12" s="12" t="s">
        <v>43</v>
      </c>
      <c r="C12" s="15" t="s">
        <v>230</v>
      </c>
      <c r="D12" s="14"/>
    </row>
    <row r="13" customFormat="false" ht="21.75" hidden="false" customHeight="true" outlineLevel="0" collapsed="false">
      <c r="B13" s="12" t="s">
        <v>44</v>
      </c>
      <c r="C13" s="15" t="s">
        <v>230</v>
      </c>
      <c r="D13" s="14"/>
    </row>
    <row r="14" customFormat="false" ht="21.75" hidden="false" customHeight="true" outlineLevel="0" collapsed="false">
      <c r="B14" s="12" t="s">
        <v>45</v>
      </c>
      <c r="C14" s="15" t="s">
        <v>230</v>
      </c>
      <c r="D14" s="14" t="s">
        <v>46</v>
      </c>
    </row>
    <row r="15" customFormat="false" ht="21.75" hidden="false" customHeight="true" outlineLevel="0" collapsed="false">
      <c r="B15" s="12" t="s">
        <v>47</v>
      </c>
      <c r="C15" s="15" t="s">
        <v>231</v>
      </c>
      <c r="D15" s="14" t="str">
        <f aca="false">IF(C15="","",IF(OR(AND(C15="Organisme de formation (AF)",C11&lt;&gt;"Oui"),AND(C15="Bilan de compétences (BC)",C12&lt;&gt;"Oui"),AND(C15="VAE",C13&lt;&gt;"Oui"),AND(C15="CFA",C14&lt;&gt;"Oui")),"Attention : cochez Oui pour la catégorie principale ci-dessus.","Catégorie principale cohérente."))</f>
        <v>Catégorie principale cohérente.</v>
      </c>
    </row>
    <row r="16" customFormat="false" ht="19.5" hidden="false" customHeight="true" outlineLevel="0" collapsed="false">
      <c r="B16" s="11" t="s">
        <v>48</v>
      </c>
      <c r="C16" s="11"/>
      <c r="D16" s="11"/>
    </row>
    <row r="17" customFormat="false" ht="21.75" hidden="false" customHeight="true" outlineLevel="0" collapsed="false">
      <c r="B17" s="12" t="s">
        <v>49</v>
      </c>
      <c r="C17" s="15" t="s">
        <v>103</v>
      </c>
      <c r="D17" s="14" t="s">
        <v>50</v>
      </c>
    </row>
    <row r="18" customFormat="false" ht="21.75" hidden="false" customHeight="true" outlineLevel="0" collapsed="false">
      <c r="B18" s="12" t="s">
        <v>51</v>
      </c>
      <c r="C18" s="15" t="s">
        <v>230</v>
      </c>
      <c r="D18" s="14" t="s">
        <v>52</v>
      </c>
    </row>
    <row r="19" customFormat="false" ht="28.5" hidden="false" customHeight="true" outlineLevel="0" collapsed="false">
      <c r="B19" s="12" t="s">
        <v>53</v>
      </c>
      <c r="C19" s="15" t="s">
        <v>230</v>
      </c>
      <c r="D19" s="14" t="s">
        <v>54</v>
      </c>
    </row>
    <row r="20" customFormat="false" ht="21.75" hidden="false" customHeight="true" outlineLevel="0" collapsed="false">
      <c r="B20" s="12" t="s">
        <v>55</v>
      </c>
      <c r="C20" s="15" t="s">
        <v>103</v>
      </c>
      <c r="D20" s="14" t="s">
        <v>56</v>
      </c>
    </row>
    <row r="21" customFormat="false" ht="19.5" hidden="false" customHeight="true" outlineLevel="0" collapsed="false">
      <c r="B21" s="17" t="s">
        <v>57</v>
      </c>
      <c r="C21" s="17"/>
      <c r="D21" s="17"/>
    </row>
    <row r="22" customFormat="false" ht="28.5" hidden="false" customHeight="true" outlineLevel="0" collapsed="false">
      <c r="B22" s="12" t="s">
        <v>58</v>
      </c>
      <c r="C22" s="15" t="s">
        <v>230</v>
      </c>
      <c r="D22" s="14" t="s">
        <v>59</v>
      </c>
    </row>
    <row r="23" customFormat="false" ht="28.5" hidden="false" customHeight="true" outlineLevel="0" collapsed="false">
      <c r="B23" s="12" t="s">
        <v>60</v>
      </c>
      <c r="C23" s="15" t="s">
        <v>103</v>
      </c>
      <c r="D23" s="14" t="s">
        <v>61</v>
      </c>
    </row>
    <row r="24" customFormat="false" ht="21.75" hidden="false" customHeight="true" outlineLevel="0" collapsed="false">
      <c r="B24" s="12" t="s">
        <v>62</v>
      </c>
      <c r="C24" s="15" t="s">
        <v>103</v>
      </c>
      <c r="D24" s="14" t="s">
        <v>63</v>
      </c>
    </row>
    <row r="25" customFormat="false" ht="28.5" hidden="false" customHeight="true" outlineLevel="0" collapsed="false">
      <c r="B25" s="12" t="s">
        <v>64</v>
      </c>
      <c r="C25" s="15" t="s">
        <v>103</v>
      </c>
      <c r="D25" s="14" t="s">
        <v>65</v>
      </c>
    </row>
    <row r="27" customFormat="false" ht="19.5" hidden="false" customHeight="true" outlineLevel="0" collapsed="false">
      <c r="B27" s="18" t="s">
        <v>66</v>
      </c>
      <c r="C27" s="18"/>
      <c r="D27" s="18"/>
    </row>
    <row r="28" customFormat="false" ht="28.5" hidden="false" customHeight="true" outlineLevel="0" collapsed="false">
      <c r="B28" s="12" t="s">
        <v>67</v>
      </c>
      <c r="C28" s="19" t="n">
        <f aca="false">COUNTIF('Exemple diagnostic'!$J$7:$J$39,"Oui")</f>
        <v>26</v>
      </c>
      <c r="D28" s="14" t="s">
        <v>68</v>
      </c>
    </row>
    <row r="29" customFormat="false" ht="21.75" hidden="false" customHeight="true" outlineLevel="0" collapsed="false">
      <c r="B29" s="12" t="s">
        <v>69</v>
      </c>
      <c r="C29" s="19" t="n">
        <f aca="false">COUNTIFS('Exemple diagnostic'!$J$7:$J$39,"Oui",'Exemple diagnostic'!$G$7:$G$39,"Mineure ou majeure")</f>
        <v>13</v>
      </c>
      <c r="D29" s="14" t="s">
        <v>70</v>
      </c>
    </row>
    <row r="30" customFormat="false" ht="21.75" hidden="false" customHeight="true" outlineLevel="0" collapsed="false">
      <c r="B30" s="12" t="s">
        <v>71</v>
      </c>
      <c r="C30" s="19" t="n">
        <f aca="false">COUNTIFS('Exemple diagnostic'!$J$7:$J$39,"Oui",'Exemple diagnostic'!$G$7:$G$39,"Majeure seulement")</f>
        <v>13</v>
      </c>
      <c r="D30" s="14" t="s">
        <v>72</v>
      </c>
    </row>
  </sheetData>
  <mergeCells count="5">
    <mergeCell ref="B5:D5"/>
    <mergeCell ref="B10:D10"/>
    <mergeCell ref="B16:D16"/>
    <mergeCell ref="B21:D21"/>
    <mergeCell ref="B27:D27"/>
  </mergeCells>
  <conditionalFormatting sqref="D15">
    <cfRule type="expression" priority="2" aboveAverage="0" equalAverage="0" bottom="0" percent="0" rank="0" text="" dxfId="0">
      <formula>LEFT($D$15,9)="Attention"</formula>
    </cfRule>
    <cfRule type="expression" priority="3" aboveAverage="0" equalAverage="0" bottom="0" percent="0" rank="0" text="" dxfId="1">
      <formula>LEFT($D$15,9)="Catégorie"</formula>
    </cfRule>
  </conditionalFormatting>
  <dataValidations count="4">
    <dataValidation allowBlank="true" errorStyle="stop" operator="between" showDropDown="false" showErrorMessage="false" showInputMessage="false" sqref="C11:C14" type="list">
      <formula1>"Oui,Non"</formula1>
      <formula2>0</formula2>
    </dataValidation>
    <dataValidation allowBlank="true" errorStyle="stop" operator="between" showDropDown="false" showErrorMessage="false" showInputMessage="false" sqref="C17:C20" type="list">
      <formula1>"Oui,Non"</formula1>
      <formula2>0</formula2>
    </dataValidation>
    <dataValidation allowBlank="true" errorStyle="stop" operator="between" showDropDown="false" showErrorMessage="false" showInputMessage="false" sqref="C22:C25" type="list">
      <formula1>"Oui,Non"</formula1>
      <formula2>0</formula2>
    </dataValidation>
    <dataValidation allowBlank="true" errorStyle="stop" operator="between" showDropDown="false" showErrorMessage="false" showInputMessage="false" sqref="C15" type="list">
      <formula1>Listes!$A$4:$A$7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R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
    <col collapsed="false" customWidth="true" hidden="false" outlineLevel="0" max="3" min="3" style="0" width="44"/>
    <col collapsed="false" customWidth="true" hidden="false" outlineLevel="0" max="4" min="4" style="0" width="12"/>
    <col collapsed="false" customWidth="true" hidden="false" outlineLevel="0" max="5" min="5" style="0" width="17"/>
    <col collapsed="false" customWidth="true" hidden="false" outlineLevel="0" max="6" min="6" style="0" width="19"/>
    <col collapsed="false" customWidth="true" hidden="false" outlineLevel="0" max="7" min="7" style="0" width="15"/>
    <col collapsed="false" customWidth="true" hidden="false" outlineLevel="0" max="8" min="8" style="0" width="9"/>
    <col collapsed="false" customWidth="true" hidden="false" outlineLevel="0" max="9" min="9" style="0" width="58"/>
    <col collapsed="false" customWidth="true" hidden="false" outlineLevel="0" max="10" min="10" style="0" width="12"/>
    <col collapsed="false" customWidth="true" hidden="false" outlineLevel="0" max="11" min="11" style="0" width="14"/>
    <col collapsed="false" customWidth="true" hidden="false" outlineLevel="0" max="12" min="12" style="0" width="15"/>
    <col collapsed="false" customWidth="true" hidden="false" outlineLevel="0" max="15" min="13" style="0" width="34"/>
    <col collapsed="false" customWidth="true" hidden="false" outlineLevel="0" max="16" min="16" style="0" width="18"/>
    <col collapsed="false" customWidth="true" hidden="false" outlineLevel="0" max="17" min="17" style="0" width="12"/>
    <col collapsed="false" customWidth="true" hidden="true" outlineLevel="0" max="18" min="18" style="0" width="8"/>
  </cols>
  <sheetData>
    <row r="1" customFormat="false" ht="21.75" hidden="false" customHeight="true" outlineLevel="0" collapsed="false">
      <c r="A1" s="1" t="s">
        <v>73</v>
      </c>
      <c r="B1" s="2"/>
      <c r="C1" s="2"/>
      <c r="D1" s="2"/>
      <c r="E1" s="2"/>
      <c r="F1" s="2"/>
      <c r="G1" s="2"/>
      <c r="H1" s="2"/>
      <c r="I1" s="2"/>
      <c r="J1" s="2"/>
      <c r="K1" s="2"/>
      <c r="L1" s="2"/>
      <c r="M1" s="2"/>
      <c r="N1" s="2"/>
      <c r="O1" s="2"/>
      <c r="P1" s="2"/>
      <c r="Q1" s="2"/>
    </row>
    <row r="2" customFormat="false" ht="25.5" hidden="false" customHeight="true" outlineLevel="0" collapsed="false">
      <c r="A2" s="3" t="s">
        <v>232</v>
      </c>
    </row>
    <row r="3" customFormat="false" ht="15" hidden="false" customHeight="false" outlineLevel="0" collapsed="false">
      <c r="A3" s="10" t="s">
        <v>233</v>
      </c>
    </row>
    <row r="4" customFormat="false" ht="21.75" hidden="false" customHeight="true" outlineLevel="0" collapsed="false">
      <c r="A4" s="20" t="str">
        <f aca="false">IF(COUNTIF('Exemple profil'!$C$11:$C$14,"Oui")=0,"Renseignez d’abord l’onglet Profil : sans catégorie d’actions cochée, aucun indicateur n’est marqué applicable.","Applicables à votre profil : "&amp;COUNTIF($J$7:$J$39,"Oui")&amp;" sur "&amp;COUNTA($B$7:$B$39)&amp;"   ·   évalués : "&amp;(COUNTIFS($J$7:$J$39,"Oui",$K$7:$K$39,"Conforme")+COUNTIFS($J$7:$J$39,"Oui",$K$7:$K$39,"Partiel")+COUNTIFS($J$7:$J$39,"Oui",$K$7:$K$39,"Non conforme"))&amp;"   ·   points à risque de non-conformité majeure : "&amp;COUNTIF($L$7:$L$39,"Majeure probable"))</f>
        <v>Applicables à votre profil : 26 sur 33   ·   évalués : 26   ·   points à risque de non-conformité majeure : 2</v>
      </c>
      <c r="B4" s="20"/>
      <c r="C4" s="20"/>
      <c r="D4" s="20"/>
      <c r="E4" s="20"/>
      <c r="F4" s="20"/>
      <c r="G4" s="20"/>
      <c r="H4" s="20"/>
      <c r="I4" s="20"/>
      <c r="J4" s="20"/>
      <c r="K4" s="20"/>
    </row>
    <row r="5" customFormat="false" ht="19.5" hidden="false" customHeight="true" outlineLevel="0" collapsed="false">
      <c r="A5" s="11" t="s">
        <v>76</v>
      </c>
      <c r="B5" s="11"/>
      <c r="C5" s="11"/>
      <c r="D5" s="11"/>
      <c r="E5" s="11"/>
      <c r="F5" s="11"/>
      <c r="G5" s="11"/>
      <c r="H5" s="11"/>
      <c r="I5" s="17" t="s">
        <v>77</v>
      </c>
      <c r="J5" s="11" t="s">
        <v>78</v>
      </c>
      <c r="K5" s="11"/>
      <c r="L5" s="11"/>
      <c r="M5" s="17" t="s">
        <v>79</v>
      </c>
      <c r="N5" s="17"/>
      <c r="O5" s="17"/>
      <c r="P5" s="17"/>
      <c r="Q5" s="17"/>
    </row>
    <row r="6" customFormat="false" ht="48" hidden="false" customHeight="true" outlineLevel="0" collapsed="false">
      <c r="A6" s="21" t="s">
        <v>80</v>
      </c>
      <c r="B6" s="21" t="s">
        <v>81</v>
      </c>
      <c r="C6" s="21" t="s">
        <v>82</v>
      </c>
      <c r="D6" s="21" t="s">
        <v>83</v>
      </c>
      <c r="E6" s="21" t="s">
        <v>84</v>
      </c>
      <c r="F6" s="21" t="s">
        <v>85</v>
      </c>
      <c r="G6" s="21" t="s">
        <v>86</v>
      </c>
      <c r="H6" s="21" t="s">
        <v>58</v>
      </c>
      <c r="I6" s="21" t="s">
        <v>87</v>
      </c>
      <c r="J6" s="21" t="s">
        <v>88</v>
      </c>
      <c r="K6" s="21" t="s">
        <v>89</v>
      </c>
      <c r="L6" s="21" t="s">
        <v>90</v>
      </c>
      <c r="M6" s="21" t="s">
        <v>91</v>
      </c>
      <c r="N6" s="21" t="s">
        <v>92</v>
      </c>
      <c r="O6" s="21" t="s">
        <v>93</v>
      </c>
      <c r="P6" s="21" t="s">
        <v>94</v>
      </c>
      <c r="Q6" s="21" t="s">
        <v>95</v>
      </c>
      <c r="R6" s="21" t="s">
        <v>96</v>
      </c>
    </row>
    <row r="7" customFormat="false" ht="63" hidden="false" customHeight="true" outlineLevel="0" collapsed="false">
      <c r="A7" s="22" t="n">
        <v>1</v>
      </c>
      <c r="B7" s="22" t="n">
        <v>1</v>
      </c>
      <c r="C7" s="23" t="s">
        <v>97</v>
      </c>
      <c r="D7" s="22" t="s">
        <v>98</v>
      </c>
      <c r="E7" s="22" t="s">
        <v>99</v>
      </c>
      <c r="F7" s="24"/>
      <c r="G7" s="22" t="s">
        <v>100</v>
      </c>
      <c r="H7" s="22"/>
      <c r="I7" s="24" t="s">
        <v>101</v>
      </c>
      <c r="J7" s="25" t="str">
        <f aca="false">IF(COUNTIF('Exemple profil'!$C$11:$C$14,"Oui")=0,"",IF(AND(OR(AND(ISNUMBER(SEARCH("CFA",$E7)),'Exemple profil'!$C$14="Oui"),AND(ISNUMBER(SEARCH("AF",$E7)),'Exemple profil'!$C$11="Oui"),AND(ISNUMBER(SEARCH("BC",$E7)),'Exemple profil'!$C$12="Oui"),AND(ISNUMBER(SEARCH("VAE",$E7)),'Exemple profil'!$C$13="Oui")),IFERROR(INDEX('Exemple profil'!$C$17:$C$20,MATCH($F7,'Exemple profil'!$B$17:$B$20,0)),"")&lt;&gt;"Non"),"Oui","Non"))</f>
        <v>Oui</v>
      </c>
      <c r="K7" s="26" t="s">
        <v>234</v>
      </c>
      <c r="L7" s="25" t="str">
        <f aca="false">IF(OR($J7&lt;&gt;"Oui",K7="",K7="Sans objet"),"",IF(K7="Conforme","Aucun écart",IF(OR(K7="Non conforme",G7="Majeure seulement"),"Majeure probable","Mineure probable")))</f>
        <v>Mineure probable</v>
      </c>
      <c r="M7" s="27" t="s">
        <v>235</v>
      </c>
      <c r="N7" s="27" t="s">
        <v>236</v>
      </c>
      <c r="O7" s="27" t="s">
        <v>237</v>
      </c>
      <c r="P7" s="27" t="s">
        <v>238</v>
      </c>
      <c r="Q7" s="28" t="n">
        <v>46332</v>
      </c>
      <c r="R7" s="25" t="str">
        <f aca="false">IF(L7="Majeure probable",COUNTIF(L$7:L7,"Majeure probable"),"")</f>
        <v/>
      </c>
    </row>
    <row r="8" customFormat="false" ht="39.75" hidden="false" customHeight="true" outlineLevel="0" collapsed="false">
      <c r="A8" s="22" t="n">
        <v>1</v>
      </c>
      <c r="B8" s="22" t="n">
        <v>2</v>
      </c>
      <c r="C8" s="23" t="s">
        <v>102</v>
      </c>
      <c r="D8" s="22" t="s">
        <v>98</v>
      </c>
      <c r="E8" s="22" t="s">
        <v>99</v>
      </c>
      <c r="F8" s="24"/>
      <c r="G8" s="22" t="s">
        <v>100</v>
      </c>
      <c r="H8" s="22" t="s">
        <v>103</v>
      </c>
      <c r="I8" s="24" t="s">
        <v>104</v>
      </c>
      <c r="J8" s="25" t="str">
        <f aca="false">IF(COUNTIF('Exemple profil'!$C$11:$C$14,"Oui")=0,"",IF(AND(OR(AND(ISNUMBER(SEARCH("CFA",$E8)),'Exemple profil'!$C$14="Oui"),AND(ISNUMBER(SEARCH("AF",$E8)),'Exemple profil'!$C$11="Oui"),AND(ISNUMBER(SEARCH("BC",$E8)),'Exemple profil'!$C$12="Oui"),AND(ISNUMBER(SEARCH("VAE",$E8)),'Exemple profil'!$C$13="Oui")),IFERROR(INDEX('Exemple profil'!$C$17:$C$20,MATCH($F8,'Exemple profil'!$B$17:$B$20,0)),"")&lt;&gt;"Non"),"Oui","Non"))</f>
        <v>Oui</v>
      </c>
      <c r="K8" s="26" t="s">
        <v>234</v>
      </c>
      <c r="L8" s="25" t="str">
        <f aca="false">IF(OR($J8&lt;&gt;"Oui",K8="",K8="Sans objet"),"",IF(K8="Conforme","Aucun écart",IF(OR(K8="Non conforme",G8="Majeure seulement"),"Majeure probable","Mineure probable")))</f>
        <v>Mineure probable</v>
      </c>
      <c r="M8" s="27" t="s">
        <v>239</v>
      </c>
      <c r="N8" s="27" t="s">
        <v>240</v>
      </c>
      <c r="O8" s="27" t="s">
        <v>241</v>
      </c>
      <c r="P8" s="27" t="s">
        <v>242</v>
      </c>
      <c r="Q8" s="28" t="n">
        <v>46339</v>
      </c>
      <c r="R8" s="25" t="str">
        <f aca="false">IF(L8="Majeure probable",COUNTIF(L$7:L8,"Majeure probable"),"")</f>
        <v/>
      </c>
    </row>
    <row r="9" customFormat="false" ht="51" hidden="false" customHeight="true" outlineLevel="0" collapsed="false">
      <c r="A9" s="22" t="n">
        <v>1</v>
      </c>
      <c r="B9" s="22" t="n">
        <v>3</v>
      </c>
      <c r="C9" s="23" t="s">
        <v>105</v>
      </c>
      <c r="D9" s="22" t="s">
        <v>98</v>
      </c>
      <c r="E9" s="22" t="s">
        <v>106</v>
      </c>
      <c r="F9" s="24" t="s">
        <v>49</v>
      </c>
      <c r="G9" s="22" t="s">
        <v>100</v>
      </c>
      <c r="H9" s="22" t="s">
        <v>103</v>
      </c>
      <c r="I9" s="24" t="s">
        <v>107</v>
      </c>
      <c r="J9" s="25" t="str">
        <f aca="false">IF(COUNTIF('Exemple profil'!$C$11:$C$14,"Oui")=0,"",IF(AND(OR(AND(ISNUMBER(SEARCH("CFA",$E9)),'Exemple profil'!$C$14="Oui"),AND(ISNUMBER(SEARCH("AF",$E9)),'Exemple profil'!$C$11="Oui"),AND(ISNUMBER(SEARCH("BC",$E9)),'Exemple profil'!$C$12="Oui"),AND(ISNUMBER(SEARCH("VAE",$E9)),'Exemple profil'!$C$13="Oui")),IFERROR(INDEX('Exemple profil'!$C$17:$C$20,MATCH($F9,'Exemple profil'!$B$17:$B$20,0)),"")&lt;&gt;"Non"),"Oui","Non"))</f>
        <v>Oui</v>
      </c>
      <c r="K9" s="26" t="s">
        <v>234</v>
      </c>
      <c r="L9" s="25" t="str">
        <f aca="false">IF(OR($J9&lt;&gt;"Oui",K9="",K9="Sans objet"),"",IF(K9="Conforme","Aucun écart",IF(OR(K9="Non conforme",G9="Majeure seulement"),"Majeure probable","Mineure probable")))</f>
        <v>Mineure probable</v>
      </c>
      <c r="M9" s="27" t="s">
        <v>243</v>
      </c>
      <c r="N9" s="27" t="s">
        <v>244</v>
      </c>
      <c r="O9" s="27" t="s">
        <v>245</v>
      </c>
      <c r="P9" s="27" t="s">
        <v>246</v>
      </c>
      <c r="Q9" s="28" t="n">
        <v>46339</v>
      </c>
      <c r="R9" s="25" t="str">
        <f aca="false">IF(L9="Majeure probable",COUNTIF(L$7:L9,"Majeure probable"),"")</f>
        <v/>
      </c>
    </row>
    <row r="10" customFormat="false" ht="39.75" hidden="false" customHeight="true" outlineLevel="0" collapsed="false">
      <c r="A10" s="29" t="n">
        <v>2</v>
      </c>
      <c r="B10" s="29" t="n">
        <v>4</v>
      </c>
      <c r="C10" s="30" t="s">
        <v>108</v>
      </c>
      <c r="D10" s="29" t="s">
        <v>109</v>
      </c>
      <c r="E10" s="29" t="s">
        <v>99</v>
      </c>
      <c r="F10" s="31"/>
      <c r="G10" s="29" t="s">
        <v>110</v>
      </c>
      <c r="H10" s="29"/>
      <c r="I10" s="31" t="s">
        <v>111</v>
      </c>
      <c r="J10" s="32" t="str">
        <f aca="false">IF(COUNTIF('Exemple profil'!$C$11:$C$14,"Oui")=0,"",IF(AND(OR(AND(ISNUMBER(SEARCH("CFA",$E10)),'Exemple profil'!$C$14="Oui"),AND(ISNUMBER(SEARCH("AF",$E10)),'Exemple profil'!$C$11="Oui"),AND(ISNUMBER(SEARCH("BC",$E10)),'Exemple profil'!$C$12="Oui"),AND(ISNUMBER(SEARCH("VAE",$E10)),'Exemple profil'!$C$13="Oui")),IFERROR(INDEX('Exemple profil'!$C$17:$C$20,MATCH($F10,'Exemple profil'!$B$17:$B$20,0)),"")&lt;&gt;"Non"),"Oui","Non"))</f>
        <v>Oui</v>
      </c>
      <c r="K10" s="33" t="s">
        <v>247</v>
      </c>
      <c r="L10" s="32" t="str">
        <f aca="false">IF(OR($J10&lt;&gt;"Oui",K10="",K10="Sans objet"),"",IF(K10="Conforme","Aucun écart",IF(OR(K10="Non conforme",G10="Majeure seulement"),"Majeure probable","Mineure probable")))</f>
        <v>Aucun écart</v>
      </c>
      <c r="M10" s="34" t="s">
        <v>248</v>
      </c>
      <c r="N10" s="34"/>
      <c r="O10" s="34"/>
      <c r="P10" s="34"/>
      <c r="Q10" s="35"/>
      <c r="R10" s="25" t="str">
        <f aca="false">IF(L10="Majeure probable",COUNTIF(L$7:L10,"Majeure probable"),"")</f>
        <v/>
      </c>
    </row>
    <row r="11" customFormat="false" ht="33.75" hidden="false" customHeight="true" outlineLevel="0" collapsed="false">
      <c r="A11" s="22" t="n">
        <v>2</v>
      </c>
      <c r="B11" s="22" t="n">
        <v>5</v>
      </c>
      <c r="C11" s="23" t="s">
        <v>112</v>
      </c>
      <c r="D11" s="22" t="s">
        <v>109</v>
      </c>
      <c r="E11" s="22" t="s">
        <v>99</v>
      </c>
      <c r="F11" s="24"/>
      <c r="G11" s="22" t="s">
        <v>110</v>
      </c>
      <c r="H11" s="22"/>
      <c r="I11" s="24" t="s">
        <v>113</v>
      </c>
      <c r="J11" s="25" t="str">
        <f aca="false">IF(COUNTIF('Exemple profil'!$C$11:$C$14,"Oui")=0,"",IF(AND(OR(AND(ISNUMBER(SEARCH("CFA",$E11)),'Exemple profil'!$C$14="Oui"),AND(ISNUMBER(SEARCH("AF",$E11)),'Exemple profil'!$C$11="Oui"),AND(ISNUMBER(SEARCH("BC",$E11)),'Exemple profil'!$C$12="Oui"),AND(ISNUMBER(SEARCH("VAE",$E11)),'Exemple profil'!$C$13="Oui")),IFERROR(INDEX('Exemple profil'!$C$17:$C$20,MATCH($F11,'Exemple profil'!$B$17:$B$20,0)),"")&lt;&gt;"Non"),"Oui","Non"))</f>
        <v>Oui</v>
      </c>
      <c r="K11" s="26" t="s">
        <v>247</v>
      </c>
      <c r="L11" s="25" t="str">
        <f aca="false">IF(OR($J11&lt;&gt;"Oui",K11="",K11="Sans objet"),"",IF(K11="Conforme","Aucun écart",IF(OR(K11="Non conforme",G11="Majeure seulement"),"Majeure probable","Mineure probable")))</f>
        <v>Aucun écart</v>
      </c>
      <c r="M11" s="27" t="s">
        <v>249</v>
      </c>
      <c r="N11" s="27"/>
      <c r="O11" s="27"/>
      <c r="P11" s="27"/>
      <c r="Q11" s="28"/>
      <c r="R11" s="25" t="str">
        <f aca="false">IF(L11="Majeure probable",COUNTIF(L$7:L11,"Majeure probable"),"")</f>
        <v/>
      </c>
    </row>
    <row r="12" customFormat="false" ht="33.75" hidden="false" customHeight="true" outlineLevel="0" collapsed="false">
      <c r="A12" s="22" t="n">
        <v>2</v>
      </c>
      <c r="B12" s="22" t="n">
        <v>6</v>
      </c>
      <c r="C12" s="23" t="s">
        <v>114</v>
      </c>
      <c r="D12" s="22" t="s">
        <v>109</v>
      </c>
      <c r="E12" s="22" t="s">
        <v>99</v>
      </c>
      <c r="F12" s="24"/>
      <c r="G12" s="22" t="s">
        <v>110</v>
      </c>
      <c r="H12" s="22"/>
      <c r="I12" s="24" t="s">
        <v>115</v>
      </c>
      <c r="J12" s="25" t="str">
        <f aca="false">IF(COUNTIF('Exemple profil'!$C$11:$C$14,"Oui")=0,"",IF(AND(OR(AND(ISNUMBER(SEARCH("CFA",$E12)),'Exemple profil'!$C$14="Oui"),AND(ISNUMBER(SEARCH("AF",$E12)),'Exemple profil'!$C$11="Oui"),AND(ISNUMBER(SEARCH("BC",$E12)),'Exemple profil'!$C$12="Oui"),AND(ISNUMBER(SEARCH("VAE",$E12)),'Exemple profil'!$C$13="Oui")),IFERROR(INDEX('Exemple profil'!$C$17:$C$20,MATCH($F12,'Exemple profil'!$B$17:$B$20,0)),"")&lt;&gt;"Non"),"Oui","Non"))</f>
        <v>Oui</v>
      </c>
      <c r="K12" s="26" t="s">
        <v>247</v>
      </c>
      <c r="L12" s="25" t="str">
        <f aca="false">IF(OR($J12&lt;&gt;"Oui",K12="",K12="Sans objet"),"",IF(K12="Conforme","Aucun écart",IF(OR(K12="Non conforme",G12="Majeure seulement"),"Majeure probable","Mineure probable")))</f>
        <v>Aucun écart</v>
      </c>
      <c r="M12" s="27" t="s">
        <v>250</v>
      </c>
      <c r="N12" s="27"/>
      <c r="O12" s="27"/>
      <c r="P12" s="27"/>
      <c r="Q12" s="28"/>
      <c r="R12" s="25" t="str">
        <f aca="false">IF(L12="Majeure probable",COUNTIF(L$7:L12,"Majeure probable"),"")</f>
        <v/>
      </c>
    </row>
    <row r="13" customFormat="false" ht="39.75" hidden="false" customHeight="true" outlineLevel="0" collapsed="false">
      <c r="A13" s="22" t="n">
        <v>2</v>
      </c>
      <c r="B13" s="22" t="n">
        <v>7</v>
      </c>
      <c r="C13" s="23" t="s">
        <v>116</v>
      </c>
      <c r="D13" s="22" t="s">
        <v>98</v>
      </c>
      <c r="E13" s="22" t="s">
        <v>117</v>
      </c>
      <c r="F13" s="24" t="s">
        <v>49</v>
      </c>
      <c r="G13" s="22" t="s">
        <v>110</v>
      </c>
      <c r="H13" s="22"/>
      <c r="I13" s="24" t="s">
        <v>118</v>
      </c>
      <c r="J13" s="25" t="str">
        <f aca="false">IF(COUNTIF('Exemple profil'!$C$11:$C$14,"Oui")=0,"",IF(AND(OR(AND(ISNUMBER(SEARCH("CFA",$E13)),'Exemple profil'!$C$14="Oui"),AND(ISNUMBER(SEARCH("AF",$E13)),'Exemple profil'!$C$11="Oui"),AND(ISNUMBER(SEARCH("BC",$E13)),'Exemple profil'!$C$12="Oui"),AND(ISNUMBER(SEARCH("VAE",$E13)),'Exemple profil'!$C$13="Oui")),IFERROR(INDEX('Exemple profil'!$C$17:$C$20,MATCH($F13,'Exemple profil'!$B$17:$B$20,0)),"")&lt;&gt;"Non"),"Oui","Non"))</f>
        <v>Oui</v>
      </c>
      <c r="K13" s="26" t="s">
        <v>247</v>
      </c>
      <c r="L13" s="25" t="str">
        <f aca="false">IF(OR($J13&lt;&gt;"Oui",K13="",K13="Sans objet"),"",IF(K13="Conforme","Aucun écart",IF(OR(K13="Non conforme",G13="Majeure seulement"),"Majeure probable","Mineure probable")))</f>
        <v>Aucun écart</v>
      </c>
      <c r="M13" s="27" t="s">
        <v>251</v>
      </c>
      <c r="N13" s="27"/>
      <c r="O13" s="27"/>
      <c r="P13" s="27"/>
      <c r="Q13" s="28"/>
      <c r="R13" s="25" t="str">
        <f aca="false">IF(L13="Majeure probable",COUNTIF(L$7:L13,"Majeure probable"),"")</f>
        <v/>
      </c>
    </row>
    <row r="14" customFormat="false" ht="39.75" hidden="false" customHeight="true" outlineLevel="0" collapsed="false">
      <c r="A14" s="22" t="n">
        <v>2</v>
      </c>
      <c r="B14" s="22" t="n">
        <v>8</v>
      </c>
      <c r="C14" s="23" t="s">
        <v>119</v>
      </c>
      <c r="D14" s="22" t="s">
        <v>109</v>
      </c>
      <c r="E14" s="22" t="s">
        <v>99</v>
      </c>
      <c r="F14" s="24"/>
      <c r="G14" s="22" t="s">
        <v>100</v>
      </c>
      <c r="H14" s="22"/>
      <c r="I14" s="24" t="s">
        <v>120</v>
      </c>
      <c r="J14" s="25" t="str">
        <f aca="false">IF(COUNTIF('Exemple profil'!$C$11:$C$14,"Oui")=0,"",IF(AND(OR(AND(ISNUMBER(SEARCH("CFA",$E14)),'Exemple profil'!$C$14="Oui"),AND(ISNUMBER(SEARCH("AF",$E14)),'Exemple profil'!$C$11="Oui"),AND(ISNUMBER(SEARCH("BC",$E14)),'Exemple profil'!$C$12="Oui"),AND(ISNUMBER(SEARCH("VAE",$E14)),'Exemple profil'!$C$13="Oui")),IFERROR(INDEX('Exemple profil'!$C$17:$C$20,MATCH($F14,'Exemple profil'!$B$17:$B$20,0)),"")&lt;&gt;"Non"),"Oui","Non"))</f>
        <v>Oui</v>
      </c>
      <c r="K14" s="26" t="s">
        <v>247</v>
      </c>
      <c r="L14" s="25" t="str">
        <f aca="false">IF(OR($J14&lt;&gt;"Oui",K14="",K14="Sans objet"),"",IF(K14="Conforme","Aucun écart",IF(OR(K14="Non conforme",G14="Majeure seulement"),"Majeure probable","Mineure probable")))</f>
        <v>Aucun écart</v>
      </c>
      <c r="M14" s="27" t="s">
        <v>252</v>
      </c>
      <c r="N14" s="27"/>
      <c r="O14" s="27"/>
      <c r="P14" s="27"/>
      <c r="Q14" s="28"/>
      <c r="R14" s="25" t="str">
        <f aca="false">IF(L14="Majeure probable",COUNTIF(L$7:L14,"Majeure probable"),"")</f>
        <v/>
      </c>
    </row>
    <row r="15" customFormat="false" ht="39.75" hidden="false" customHeight="true" outlineLevel="0" collapsed="false">
      <c r="A15" s="29" t="n">
        <v>3</v>
      </c>
      <c r="B15" s="29" t="n">
        <v>9</v>
      </c>
      <c r="C15" s="30" t="s">
        <v>121</v>
      </c>
      <c r="D15" s="29" t="s">
        <v>109</v>
      </c>
      <c r="E15" s="29" t="s">
        <v>99</v>
      </c>
      <c r="F15" s="31"/>
      <c r="G15" s="29" t="s">
        <v>100</v>
      </c>
      <c r="H15" s="29"/>
      <c r="I15" s="31" t="s">
        <v>122</v>
      </c>
      <c r="J15" s="32" t="str">
        <f aca="false">IF(COUNTIF('Exemple profil'!$C$11:$C$14,"Oui")=0,"",IF(AND(OR(AND(ISNUMBER(SEARCH("CFA",$E15)),'Exemple profil'!$C$14="Oui"),AND(ISNUMBER(SEARCH("AF",$E15)),'Exemple profil'!$C$11="Oui"),AND(ISNUMBER(SEARCH("BC",$E15)),'Exemple profil'!$C$12="Oui"),AND(ISNUMBER(SEARCH("VAE",$E15)),'Exemple profil'!$C$13="Oui")),IFERROR(INDEX('Exemple profil'!$C$17:$C$20,MATCH($F15,'Exemple profil'!$B$17:$B$20,0)),"")&lt;&gt;"Non"),"Oui","Non"))</f>
        <v>Oui</v>
      </c>
      <c r="K15" s="33" t="s">
        <v>247</v>
      </c>
      <c r="L15" s="32" t="str">
        <f aca="false">IF(OR($J15&lt;&gt;"Oui",K15="",K15="Sans objet"),"",IF(K15="Conforme","Aucun écart",IF(OR(K15="Non conforme",G15="Majeure seulement"),"Majeure probable","Mineure probable")))</f>
        <v>Aucun écart</v>
      </c>
      <c r="M15" s="34" t="s">
        <v>253</v>
      </c>
      <c r="N15" s="34"/>
      <c r="O15" s="34"/>
      <c r="P15" s="34"/>
      <c r="Q15" s="35"/>
      <c r="R15" s="25" t="str">
        <f aca="false">IF(L15="Majeure probable",COUNTIF(L$7:L15,"Majeure probable"),"")</f>
        <v/>
      </c>
    </row>
    <row r="16" customFormat="false" ht="33.75" hidden="false" customHeight="true" outlineLevel="0" collapsed="false">
      <c r="A16" s="22" t="n">
        <v>3</v>
      </c>
      <c r="B16" s="22" t="n">
        <v>10</v>
      </c>
      <c r="C16" s="23" t="s">
        <v>123</v>
      </c>
      <c r="D16" s="22" t="s">
        <v>109</v>
      </c>
      <c r="E16" s="22" t="s">
        <v>99</v>
      </c>
      <c r="F16" s="24"/>
      <c r="G16" s="22" t="s">
        <v>110</v>
      </c>
      <c r="H16" s="22"/>
      <c r="I16" s="24" t="s">
        <v>124</v>
      </c>
      <c r="J16" s="25" t="str">
        <f aca="false">IF(COUNTIF('Exemple profil'!$C$11:$C$14,"Oui")=0,"",IF(AND(OR(AND(ISNUMBER(SEARCH("CFA",$E16)),'Exemple profil'!$C$14="Oui"),AND(ISNUMBER(SEARCH("AF",$E16)),'Exemple profil'!$C$11="Oui"),AND(ISNUMBER(SEARCH("BC",$E16)),'Exemple profil'!$C$12="Oui"),AND(ISNUMBER(SEARCH("VAE",$E16)),'Exemple profil'!$C$13="Oui")),IFERROR(INDEX('Exemple profil'!$C$17:$C$20,MATCH($F16,'Exemple profil'!$B$17:$B$20,0)),"")&lt;&gt;"Non"),"Oui","Non"))</f>
        <v>Oui</v>
      </c>
      <c r="K16" s="26" t="s">
        <v>247</v>
      </c>
      <c r="L16" s="25" t="str">
        <f aca="false">IF(OR($J16&lt;&gt;"Oui",K16="",K16="Sans objet"),"",IF(K16="Conforme","Aucun écart",IF(OR(K16="Non conforme",G16="Majeure seulement"),"Majeure probable","Mineure probable")))</f>
        <v>Aucun écart</v>
      </c>
      <c r="M16" s="27" t="s">
        <v>254</v>
      </c>
      <c r="N16" s="27"/>
      <c r="O16" s="27"/>
      <c r="P16" s="27"/>
      <c r="Q16" s="28"/>
      <c r="R16" s="25" t="str">
        <f aca="false">IF(L16="Majeure probable",COUNTIF(L$7:L16,"Majeure probable"),"")</f>
        <v/>
      </c>
    </row>
    <row r="17" customFormat="false" ht="33.75" hidden="false" customHeight="true" outlineLevel="0" collapsed="false">
      <c r="A17" s="22" t="n">
        <v>3</v>
      </c>
      <c r="B17" s="22" t="n">
        <v>11</v>
      </c>
      <c r="C17" s="23" t="s">
        <v>125</v>
      </c>
      <c r="D17" s="22" t="s">
        <v>109</v>
      </c>
      <c r="E17" s="22" t="s">
        <v>99</v>
      </c>
      <c r="F17" s="24"/>
      <c r="G17" s="22" t="s">
        <v>110</v>
      </c>
      <c r="H17" s="22" t="s">
        <v>103</v>
      </c>
      <c r="I17" s="24" t="s">
        <v>126</v>
      </c>
      <c r="J17" s="25" t="str">
        <f aca="false">IF(COUNTIF('Exemple profil'!$C$11:$C$14,"Oui")=0,"",IF(AND(OR(AND(ISNUMBER(SEARCH("CFA",$E17)),'Exemple profil'!$C$14="Oui"),AND(ISNUMBER(SEARCH("AF",$E17)),'Exemple profil'!$C$11="Oui"),AND(ISNUMBER(SEARCH("BC",$E17)),'Exemple profil'!$C$12="Oui"),AND(ISNUMBER(SEARCH("VAE",$E17)),'Exemple profil'!$C$13="Oui")),IFERROR(INDEX('Exemple profil'!$C$17:$C$20,MATCH($F17,'Exemple profil'!$B$17:$B$20,0)),"")&lt;&gt;"Non"),"Oui","Non"))</f>
        <v>Oui</v>
      </c>
      <c r="K17" s="26" t="s">
        <v>247</v>
      </c>
      <c r="L17" s="25" t="str">
        <f aca="false">IF(OR($J17&lt;&gt;"Oui",K17="",K17="Sans objet"),"",IF(K17="Conforme","Aucun écart",IF(OR(K17="Non conforme",G17="Majeure seulement"),"Majeure probable","Mineure probable")))</f>
        <v>Aucun écart</v>
      </c>
      <c r="M17" s="27" t="s">
        <v>255</v>
      </c>
      <c r="N17" s="27"/>
      <c r="O17" s="27"/>
      <c r="P17" s="27"/>
      <c r="Q17" s="28"/>
      <c r="R17" s="25" t="str">
        <f aca="false">IF(L17="Majeure probable",COUNTIF(L$7:L17,"Majeure probable"),"")</f>
        <v/>
      </c>
    </row>
    <row r="18" customFormat="false" ht="51" hidden="false" customHeight="true" outlineLevel="0" collapsed="false">
      <c r="A18" s="22" t="n">
        <v>3</v>
      </c>
      <c r="B18" s="22" t="n">
        <v>12</v>
      </c>
      <c r="C18" s="23" t="s">
        <v>127</v>
      </c>
      <c r="D18" s="22" t="s">
        <v>98</v>
      </c>
      <c r="E18" s="22" t="s">
        <v>99</v>
      </c>
      <c r="F18" s="24"/>
      <c r="G18" s="22" t="s">
        <v>100</v>
      </c>
      <c r="H18" s="22"/>
      <c r="I18" s="24" t="s">
        <v>128</v>
      </c>
      <c r="J18" s="25" t="str">
        <f aca="false">IF(COUNTIF('Exemple profil'!$C$11:$C$14,"Oui")=0,"",IF(AND(OR(AND(ISNUMBER(SEARCH("CFA",$E18)),'Exemple profil'!$C$14="Oui"),AND(ISNUMBER(SEARCH("AF",$E18)),'Exemple profil'!$C$11="Oui"),AND(ISNUMBER(SEARCH("BC",$E18)),'Exemple profil'!$C$12="Oui"),AND(ISNUMBER(SEARCH("VAE",$E18)),'Exemple profil'!$C$13="Oui")),IFERROR(INDEX('Exemple profil'!$C$17:$C$20,MATCH($F18,'Exemple profil'!$B$17:$B$20,0)),"")&lt;&gt;"Non"),"Oui","Non"))</f>
        <v>Oui</v>
      </c>
      <c r="K18" s="26" t="s">
        <v>234</v>
      </c>
      <c r="L18" s="25" t="str">
        <f aca="false">IF(OR($J18&lt;&gt;"Oui",K18="",K18="Sans objet"),"",IF(K18="Conforme","Aucun écart",IF(OR(K18="Non conforme",G18="Majeure seulement"),"Majeure probable","Mineure probable")))</f>
        <v>Mineure probable</v>
      </c>
      <c r="M18" s="27" t="s">
        <v>256</v>
      </c>
      <c r="N18" s="27" t="s">
        <v>257</v>
      </c>
      <c r="O18" s="27" t="s">
        <v>258</v>
      </c>
      <c r="P18" s="27" t="s">
        <v>238</v>
      </c>
      <c r="Q18" s="28" t="n">
        <v>46346</v>
      </c>
      <c r="R18" s="25" t="str">
        <f aca="false">IF(L18="Majeure probable",COUNTIF(L$7:L18,"Majeure probable"),"")</f>
        <v/>
      </c>
    </row>
    <row r="19" customFormat="false" ht="39.75" hidden="false" customHeight="true" outlineLevel="0" collapsed="false">
      <c r="A19" s="22" t="n">
        <v>3</v>
      </c>
      <c r="B19" s="22" t="n">
        <v>13</v>
      </c>
      <c r="C19" s="23" t="s">
        <v>129</v>
      </c>
      <c r="D19" s="22" t="s">
        <v>109</v>
      </c>
      <c r="E19" s="22" t="s">
        <v>117</v>
      </c>
      <c r="F19" s="24" t="s">
        <v>51</v>
      </c>
      <c r="G19" s="22" t="s">
        <v>100</v>
      </c>
      <c r="H19" s="22" t="s">
        <v>103</v>
      </c>
      <c r="I19" s="24" t="s">
        <v>130</v>
      </c>
      <c r="J19" s="25" t="str">
        <f aca="false">IF(COUNTIF('Exemple profil'!$C$11:$C$14,"Oui")=0,"",IF(AND(OR(AND(ISNUMBER(SEARCH("CFA",$E19)),'Exemple profil'!$C$14="Oui"),AND(ISNUMBER(SEARCH("AF",$E19)),'Exemple profil'!$C$11="Oui"),AND(ISNUMBER(SEARCH("BC",$E19)),'Exemple profil'!$C$12="Oui"),AND(ISNUMBER(SEARCH("VAE",$E19)),'Exemple profil'!$C$13="Oui")),IFERROR(INDEX('Exemple profil'!$C$17:$C$20,MATCH($F19,'Exemple profil'!$B$17:$B$20,0)),"")&lt;&gt;"Non"),"Oui","Non"))</f>
        <v>Non</v>
      </c>
      <c r="K19" s="26"/>
      <c r="L19" s="25" t="str">
        <f aca="false">IF(OR($J19&lt;&gt;"Oui",K19="",K19="Sans objet"),"",IF(K19="Conforme","Aucun écart",IF(OR(K19="Non conforme",G19="Majeure seulement"),"Majeure probable","Mineure probable")))</f>
        <v/>
      </c>
      <c r="M19" s="27"/>
      <c r="N19" s="27"/>
      <c r="O19" s="27"/>
      <c r="P19" s="27"/>
      <c r="Q19" s="28"/>
      <c r="R19" s="25" t="str">
        <f aca="false">IF(L19="Majeure probable",COUNTIF(L$7:L19,"Majeure probable"),"")</f>
        <v/>
      </c>
    </row>
    <row r="20" customFormat="false" ht="51" hidden="false" customHeight="true" outlineLevel="0" collapsed="false">
      <c r="A20" s="22" t="n">
        <v>3</v>
      </c>
      <c r="B20" s="22" t="n">
        <v>14</v>
      </c>
      <c r="C20" s="23" t="s">
        <v>131</v>
      </c>
      <c r="D20" s="22" t="s">
        <v>98</v>
      </c>
      <c r="E20" s="22" t="s">
        <v>132</v>
      </c>
      <c r="F20" s="24"/>
      <c r="G20" s="22" t="s">
        <v>110</v>
      </c>
      <c r="H20" s="22" t="s">
        <v>103</v>
      </c>
      <c r="I20" s="24" t="s">
        <v>133</v>
      </c>
      <c r="J20" s="25" t="str">
        <f aca="false">IF(COUNTIF('Exemple profil'!$C$11:$C$14,"Oui")=0,"",IF(AND(OR(AND(ISNUMBER(SEARCH("CFA",$E20)),'Exemple profil'!$C$14="Oui"),AND(ISNUMBER(SEARCH("AF",$E20)),'Exemple profil'!$C$11="Oui"),AND(ISNUMBER(SEARCH("BC",$E20)),'Exemple profil'!$C$12="Oui"),AND(ISNUMBER(SEARCH("VAE",$E20)),'Exemple profil'!$C$13="Oui")),IFERROR(INDEX('Exemple profil'!$C$17:$C$20,MATCH($F20,'Exemple profil'!$B$17:$B$20,0)),"")&lt;&gt;"Non"),"Oui","Non"))</f>
        <v>Non</v>
      </c>
      <c r="K20" s="26"/>
      <c r="L20" s="25" t="str">
        <f aca="false">IF(OR($J20&lt;&gt;"Oui",K20="",K20="Sans objet"),"",IF(K20="Conforme","Aucun écart",IF(OR(K20="Non conforme",G20="Majeure seulement"),"Majeure probable","Mineure probable")))</f>
        <v/>
      </c>
      <c r="M20" s="27"/>
      <c r="N20" s="27"/>
      <c r="O20" s="27"/>
      <c r="P20" s="27"/>
      <c r="Q20" s="28"/>
      <c r="R20" s="25" t="str">
        <f aca="false">IF(L20="Majeure probable",COUNTIF(L$7:L20,"Majeure probable"),"")</f>
        <v/>
      </c>
    </row>
    <row r="21" customFormat="false" ht="51" hidden="false" customHeight="true" outlineLevel="0" collapsed="false">
      <c r="A21" s="22" t="n">
        <v>3</v>
      </c>
      <c r="B21" s="22" t="n">
        <v>15</v>
      </c>
      <c r="C21" s="23" t="s">
        <v>134</v>
      </c>
      <c r="D21" s="22" t="s">
        <v>98</v>
      </c>
      <c r="E21" s="22" t="s">
        <v>132</v>
      </c>
      <c r="F21" s="24"/>
      <c r="G21" s="22" t="s">
        <v>110</v>
      </c>
      <c r="H21" s="22"/>
      <c r="I21" s="24" t="s">
        <v>135</v>
      </c>
      <c r="J21" s="25" t="str">
        <f aca="false">IF(COUNTIF('Exemple profil'!$C$11:$C$14,"Oui")=0,"",IF(AND(OR(AND(ISNUMBER(SEARCH("CFA",$E21)),'Exemple profil'!$C$14="Oui"),AND(ISNUMBER(SEARCH("AF",$E21)),'Exemple profil'!$C$11="Oui"),AND(ISNUMBER(SEARCH("BC",$E21)),'Exemple profil'!$C$12="Oui"),AND(ISNUMBER(SEARCH("VAE",$E21)),'Exemple profil'!$C$13="Oui")),IFERROR(INDEX('Exemple profil'!$C$17:$C$20,MATCH($F21,'Exemple profil'!$B$17:$B$20,0)),"")&lt;&gt;"Non"),"Oui","Non"))</f>
        <v>Non</v>
      </c>
      <c r="K21" s="26"/>
      <c r="L21" s="25" t="str">
        <f aca="false">IF(OR($J21&lt;&gt;"Oui",K21="",K21="Sans objet"),"",IF(K21="Conforme","Aucun écart",IF(OR(K21="Non conforme",G21="Majeure seulement"),"Majeure probable","Mineure probable")))</f>
        <v/>
      </c>
      <c r="M21" s="27"/>
      <c r="N21" s="27"/>
      <c r="O21" s="27"/>
      <c r="P21" s="27"/>
      <c r="Q21" s="28"/>
      <c r="R21" s="25" t="str">
        <f aca="false">IF(L21="Majeure probable",COUNTIF(L$7:L21,"Majeure probable"),"")</f>
        <v/>
      </c>
    </row>
    <row r="22" customFormat="false" ht="39.75" hidden="false" customHeight="true" outlineLevel="0" collapsed="false">
      <c r="A22" s="22" t="n">
        <v>3</v>
      </c>
      <c r="B22" s="22" t="n">
        <v>16</v>
      </c>
      <c r="C22" s="23" t="s">
        <v>136</v>
      </c>
      <c r="D22" s="22" t="s">
        <v>109</v>
      </c>
      <c r="E22" s="22" t="s">
        <v>106</v>
      </c>
      <c r="F22" s="24" t="s">
        <v>49</v>
      </c>
      <c r="G22" s="22" t="s">
        <v>110</v>
      </c>
      <c r="H22" s="22"/>
      <c r="I22" s="24" t="s">
        <v>137</v>
      </c>
      <c r="J22" s="25" t="str">
        <f aca="false">IF(COUNTIF('Exemple profil'!$C$11:$C$14,"Oui")=0,"",IF(AND(OR(AND(ISNUMBER(SEARCH("CFA",$E22)),'Exemple profil'!$C$14="Oui"),AND(ISNUMBER(SEARCH("AF",$E22)),'Exemple profil'!$C$11="Oui"),AND(ISNUMBER(SEARCH("BC",$E22)),'Exemple profil'!$C$12="Oui"),AND(ISNUMBER(SEARCH("VAE",$E22)),'Exemple profil'!$C$13="Oui")),IFERROR(INDEX('Exemple profil'!$C$17:$C$20,MATCH($F22,'Exemple profil'!$B$17:$B$20,0)),"")&lt;&gt;"Non"),"Oui","Non"))</f>
        <v>Oui</v>
      </c>
      <c r="K22" s="26" t="s">
        <v>247</v>
      </c>
      <c r="L22" s="25" t="str">
        <f aca="false">IF(OR($J22&lt;&gt;"Oui",K22="",K22="Sans objet"),"",IF(K22="Conforme","Aucun écart",IF(OR(K22="Non conforme",G22="Majeure seulement"),"Majeure probable","Mineure probable")))</f>
        <v>Aucun écart</v>
      </c>
      <c r="M22" s="27" t="s">
        <v>259</v>
      </c>
      <c r="N22" s="27"/>
      <c r="O22" s="27"/>
      <c r="P22" s="27"/>
      <c r="Q22" s="28"/>
      <c r="R22" s="25" t="str">
        <f aca="false">IF(L22="Majeure probable",COUNTIF(L$7:L22,"Majeure probable"),"")</f>
        <v/>
      </c>
    </row>
    <row r="23" customFormat="false" ht="39.75" hidden="false" customHeight="true" outlineLevel="0" collapsed="false">
      <c r="A23" s="29" t="n">
        <v>4</v>
      </c>
      <c r="B23" s="29" t="n">
        <v>17</v>
      </c>
      <c r="C23" s="30" t="s">
        <v>138</v>
      </c>
      <c r="D23" s="29" t="s">
        <v>109</v>
      </c>
      <c r="E23" s="29" t="s">
        <v>99</v>
      </c>
      <c r="F23" s="31"/>
      <c r="G23" s="29" t="s">
        <v>100</v>
      </c>
      <c r="H23" s="29"/>
      <c r="I23" s="31" t="s">
        <v>139</v>
      </c>
      <c r="J23" s="32" t="str">
        <f aca="false">IF(COUNTIF('Exemple profil'!$C$11:$C$14,"Oui")=0,"",IF(AND(OR(AND(ISNUMBER(SEARCH("CFA",$E23)),'Exemple profil'!$C$14="Oui"),AND(ISNUMBER(SEARCH("AF",$E23)),'Exemple profil'!$C$11="Oui"),AND(ISNUMBER(SEARCH("BC",$E23)),'Exemple profil'!$C$12="Oui"),AND(ISNUMBER(SEARCH("VAE",$E23)),'Exemple profil'!$C$13="Oui")),IFERROR(INDEX('Exemple profil'!$C$17:$C$20,MATCH($F23,'Exemple profil'!$B$17:$B$20,0)),"")&lt;&gt;"Non"),"Oui","Non"))</f>
        <v>Oui</v>
      </c>
      <c r="K23" s="33" t="s">
        <v>247</v>
      </c>
      <c r="L23" s="32" t="str">
        <f aca="false">IF(OR($J23&lt;&gt;"Oui",K23="",K23="Sans objet"),"",IF(K23="Conforme","Aucun écart",IF(OR(K23="Non conforme",G23="Majeure seulement"),"Majeure probable","Mineure probable")))</f>
        <v>Aucun écart</v>
      </c>
      <c r="M23" s="34" t="s">
        <v>260</v>
      </c>
      <c r="N23" s="34"/>
      <c r="O23" s="34"/>
      <c r="P23" s="34"/>
      <c r="Q23" s="35"/>
      <c r="R23" s="25" t="str">
        <f aca="false">IF(L23="Majeure probable",COUNTIF(L$7:L23,"Majeure probable"),"")</f>
        <v/>
      </c>
    </row>
    <row r="24" customFormat="false" ht="33.75" hidden="false" customHeight="true" outlineLevel="0" collapsed="false">
      <c r="A24" s="22" t="n">
        <v>4</v>
      </c>
      <c r="B24" s="22" t="n">
        <v>18</v>
      </c>
      <c r="C24" s="23" t="s">
        <v>140</v>
      </c>
      <c r="D24" s="22" t="s">
        <v>109</v>
      </c>
      <c r="E24" s="22" t="s">
        <v>99</v>
      </c>
      <c r="F24" s="24"/>
      <c r="G24" s="22" t="s">
        <v>100</v>
      </c>
      <c r="H24" s="22"/>
      <c r="I24" s="24" t="s">
        <v>141</v>
      </c>
      <c r="J24" s="25" t="str">
        <f aca="false">IF(COUNTIF('Exemple profil'!$C$11:$C$14,"Oui")=0,"",IF(AND(OR(AND(ISNUMBER(SEARCH("CFA",$E24)),'Exemple profil'!$C$14="Oui"),AND(ISNUMBER(SEARCH("AF",$E24)),'Exemple profil'!$C$11="Oui"),AND(ISNUMBER(SEARCH("BC",$E24)),'Exemple profil'!$C$12="Oui"),AND(ISNUMBER(SEARCH("VAE",$E24)),'Exemple profil'!$C$13="Oui")),IFERROR(INDEX('Exemple profil'!$C$17:$C$20,MATCH($F24,'Exemple profil'!$B$17:$B$20,0)),"")&lt;&gt;"Non"),"Oui","Non"))</f>
        <v>Oui</v>
      </c>
      <c r="K24" s="26" t="s">
        <v>247</v>
      </c>
      <c r="L24" s="25" t="str">
        <f aca="false">IF(OR($J24&lt;&gt;"Oui",K24="",K24="Sans objet"),"",IF(K24="Conforme","Aucun écart",IF(OR(K24="Non conforme",G24="Majeure seulement"),"Majeure probable","Mineure probable")))</f>
        <v>Aucun écart</v>
      </c>
      <c r="M24" s="27" t="s">
        <v>261</v>
      </c>
      <c r="N24" s="27"/>
      <c r="O24" s="27"/>
      <c r="P24" s="27"/>
      <c r="Q24" s="28"/>
      <c r="R24" s="25" t="str">
        <f aca="false">IF(L24="Majeure probable",COUNTIF(L$7:L24,"Majeure probable"),"")</f>
        <v/>
      </c>
    </row>
    <row r="25" customFormat="false" ht="51" hidden="false" customHeight="true" outlineLevel="0" collapsed="false">
      <c r="A25" s="22" t="n">
        <v>4</v>
      </c>
      <c r="B25" s="22" t="n">
        <v>19</v>
      </c>
      <c r="C25" s="23" t="s">
        <v>142</v>
      </c>
      <c r="D25" s="22" t="s">
        <v>98</v>
      </c>
      <c r="E25" s="22" t="s">
        <v>99</v>
      </c>
      <c r="F25" s="24"/>
      <c r="G25" s="22" t="s">
        <v>100</v>
      </c>
      <c r="H25" s="22" t="s">
        <v>103</v>
      </c>
      <c r="I25" s="24" t="s">
        <v>143</v>
      </c>
      <c r="J25" s="25" t="str">
        <f aca="false">IF(COUNTIF('Exemple profil'!$C$11:$C$14,"Oui")=0,"",IF(AND(OR(AND(ISNUMBER(SEARCH("CFA",$E25)),'Exemple profil'!$C$14="Oui"),AND(ISNUMBER(SEARCH("AF",$E25)),'Exemple profil'!$C$11="Oui"),AND(ISNUMBER(SEARCH("BC",$E25)),'Exemple profil'!$C$12="Oui"),AND(ISNUMBER(SEARCH("VAE",$E25)),'Exemple profil'!$C$13="Oui")),IFERROR(INDEX('Exemple profil'!$C$17:$C$20,MATCH($F25,'Exemple profil'!$B$17:$B$20,0)),"")&lt;&gt;"Non"),"Oui","Non"))</f>
        <v>Oui</v>
      </c>
      <c r="K25" s="26" t="s">
        <v>234</v>
      </c>
      <c r="L25" s="25" t="str">
        <f aca="false">IF(OR($J25&lt;&gt;"Oui",K25="",K25="Sans objet"),"",IF(K25="Conforme","Aucun écart",IF(OR(K25="Non conforme",G25="Majeure seulement"),"Majeure probable","Mineure probable")))</f>
        <v>Mineure probable</v>
      </c>
      <c r="M25" s="27" t="s">
        <v>262</v>
      </c>
      <c r="N25" s="27" t="s">
        <v>263</v>
      </c>
      <c r="O25" s="27" t="s">
        <v>264</v>
      </c>
      <c r="P25" s="27" t="s">
        <v>246</v>
      </c>
      <c r="Q25" s="28" t="n">
        <v>46346</v>
      </c>
      <c r="R25" s="25" t="str">
        <f aca="false">IF(L25="Majeure probable",COUNTIF(L$7:L25,"Majeure probable"),"")</f>
        <v/>
      </c>
    </row>
    <row r="26" customFormat="false" ht="51" hidden="false" customHeight="true" outlineLevel="0" collapsed="false">
      <c r="A26" s="22" t="n">
        <v>4</v>
      </c>
      <c r="B26" s="22" t="n">
        <v>20</v>
      </c>
      <c r="C26" s="23" t="s">
        <v>144</v>
      </c>
      <c r="D26" s="22" t="s">
        <v>98</v>
      </c>
      <c r="E26" s="22" t="s">
        <v>132</v>
      </c>
      <c r="F26" s="24"/>
      <c r="G26" s="22" t="s">
        <v>110</v>
      </c>
      <c r="H26" s="22"/>
      <c r="I26" s="24" t="s">
        <v>145</v>
      </c>
      <c r="J26" s="25" t="str">
        <f aca="false">IF(COUNTIF('Exemple profil'!$C$11:$C$14,"Oui")=0,"",IF(AND(OR(AND(ISNUMBER(SEARCH("CFA",$E26)),'Exemple profil'!$C$14="Oui"),AND(ISNUMBER(SEARCH("AF",$E26)),'Exemple profil'!$C$11="Oui"),AND(ISNUMBER(SEARCH("BC",$E26)),'Exemple profil'!$C$12="Oui"),AND(ISNUMBER(SEARCH("VAE",$E26)),'Exemple profil'!$C$13="Oui")),IFERROR(INDEX('Exemple profil'!$C$17:$C$20,MATCH($F26,'Exemple profil'!$B$17:$B$20,0)),"")&lt;&gt;"Non"),"Oui","Non"))</f>
        <v>Non</v>
      </c>
      <c r="K26" s="26"/>
      <c r="L26" s="25" t="str">
        <f aca="false">IF(OR($J26&lt;&gt;"Oui",K26="",K26="Sans objet"),"",IF(K26="Conforme","Aucun écart",IF(OR(K26="Non conforme",G26="Majeure seulement"),"Majeure probable","Mineure probable")))</f>
        <v/>
      </c>
      <c r="M26" s="27"/>
      <c r="N26" s="27"/>
      <c r="O26" s="27"/>
      <c r="P26" s="27"/>
      <c r="Q26" s="28"/>
      <c r="R26" s="25" t="str">
        <f aca="false">IF(L26="Majeure probable",COUNTIF(L$7:L26,"Majeure probable"),"")</f>
        <v/>
      </c>
    </row>
    <row r="27" customFormat="false" ht="33.75" hidden="false" customHeight="true" outlineLevel="0" collapsed="false">
      <c r="A27" s="29" t="n">
        <v>5</v>
      </c>
      <c r="B27" s="29" t="n">
        <v>21</v>
      </c>
      <c r="C27" s="30" t="s">
        <v>146</v>
      </c>
      <c r="D27" s="29" t="s">
        <v>109</v>
      </c>
      <c r="E27" s="29" t="s">
        <v>99</v>
      </c>
      <c r="F27" s="31"/>
      <c r="G27" s="29" t="s">
        <v>110</v>
      </c>
      <c r="H27" s="29"/>
      <c r="I27" s="31" t="s">
        <v>147</v>
      </c>
      <c r="J27" s="32" t="str">
        <f aca="false">IF(COUNTIF('Exemple profil'!$C$11:$C$14,"Oui")=0,"",IF(AND(OR(AND(ISNUMBER(SEARCH("CFA",$E27)),'Exemple profil'!$C$14="Oui"),AND(ISNUMBER(SEARCH("AF",$E27)),'Exemple profil'!$C$11="Oui"),AND(ISNUMBER(SEARCH("BC",$E27)),'Exemple profil'!$C$12="Oui"),AND(ISNUMBER(SEARCH("VAE",$E27)),'Exemple profil'!$C$13="Oui")),IFERROR(INDEX('Exemple profil'!$C$17:$C$20,MATCH($F27,'Exemple profil'!$B$17:$B$20,0)),"")&lt;&gt;"Non"),"Oui","Non"))</f>
        <v>Oui</v>
      </c>
      <c r="K27" s="33" t="s">
        <v>247</v>
      </c>
      <c r="L27" s="32" t="str">
        <f aca="false">IF(OR($J27&lt;&gt;"Oui",K27="",K27="Sans objet"),"",IF(K27="Conforme","Aucun écart",IF(OR(K27="Non conforme",G27="Majeure seulement"),"Majeure probable","Mineure probable")))</f>
        <v>Aucun écart</v>
      </c>
      <c r="M27" s="34" t="s">
        <v>265</v>
      </c>
      <c r="N27" s="34"/>
      <c r="O27" s="34"/>
      <c r="P27" s="34"/>
      <c r="Q27" s="35"/>
      <c r="R27" s="25" t="str">
        <f aca="false">IF(L27="Majeure probable",COUNTIF(L$7:L27,"Majeure probable"),"")</f>
        <v/>
      </c>
    </row>
    <row r="28" customFormat="false" ht="39.75" hidden="false" customHeight="true" outlineLevel="0" collapsed="false">
      <c r="A28" s="22" t="n">
        <v>5</v>
      </c>
      <c r="B28" s="22" t="n">
        <v>22</v>
      </c>
      <c r="C28" s="23" t="s">
        <v>148</v>
      </c>
      <c r="D28" s="22" t="s">
        <v>109</v>
      </c>
      <c r="E28" s="22" t="s">
        <v>99</v>
      </c>
      <c r="F28" s="24"/>
      <c r="G28" s="22" t="s">
        <v>110</v>
      </c>
      <c r="H28" s="22" t="s">
        <v>103</v>
      </c>
      <c r="I28" s="24" t="s">
        <v>149</v>
      </c>
      <c r="J28" s="25" t="str">
        <f aca="false">IF(COUNTIF('Exemple profil'!$C$11:$C$14,"Oui")=0,"",IF(AND(OR(AND(ISNUMBER(SEARCH("CFA",$E28)),'Exemple profil'!$C$14="Oui"),AND(ISNUMBER(SEARCH("AF",$E28)),'Exemple profil'!$C$11="Oui"),AND(ISNUMBER(SEARCH("BC",$E28)),'Exemple profil'!$C$12="Oui"),AND(ISNUMBER(SEARCH("VAE",$E28)),'Exemple profil'!$C$13="Oui")),IFERROR(INDEX('Exemple profil'!$C$17:$C$20,MATCH($F28,'Exemple profil'!$B$17:$B$20,0)),"")&lt;&gt;"Non"),"Oui","Non"))</f>
        <v>Oui</v>
      </c>
      <c r="K28" s="26" t="s">
        <v>247</v>
      </c>
      <c r="L28" s="25" t="str">
        <f aca="false">IF(OR($J28&lt;&gt;"Oui",K28="",K28="Sans objet"),"",IF(K28="Conforme","Aucun écart",IF(OR(K28="Non conforme",G28="Majeure seulement"),"Majeure probable","Mineure probable")))</f>
        <v>Aucun écart</v>
      </c>
      <c r="M28" s="27" t="s">
        <v>266</v>
      </c>
      <c r="N28" s="27"/>
      <c r="O28" s="27"/>
      <c r="P28" s="27"/>
      <c r="Q28" s="28"/>
      <c r="R28" s="25" t="str">
        <f aca="false">IF(L28="Majeure probable",COUNTIF(L$7:L28,"Majeure probable"),"")</f>
        <v/>
      </c>
    </row>
    <row r="29" customFormat="false" ht="39.75" hidden="false" customHeight="true" outlineLevel="0" collapsed="false">
      <c r="A29" s="29" t="n">
        <v>6</v>
      </c>
      <c r="B29" s="29" t="n">
        <v>23</v>
      </c>
      <c r="C29" s="30" t="s">
        <v>150</v>
      </c>
      <c r="D29" s="29" t="s">
        <v>109</v>
      </c>
      <c r="E29" s="29" t="s">
        <v>99</v>
      </c>
      <c r="F29" s="31"/>
      <c r="G29" s="29" t="s">
        <v>100</v>
      </c>
      <c r="H29" s="29"/>
      <c r="I29" s="31" t="s">
        <v>151</v>
      </c>
      <c r="J29" s="32" t="str">
        <f aca="false">IF(COUNTIF('Exemple profil'!$C$11:$C$14,"Oui")=0,"",IF(AND(OR(AND(ISNUMBER(SEARCH("CFA",$E29)),'Exemple profil'!$C$14="Oui"),AND(ISNUMBER(SEARCH("AF",$E29)),'Exemple profil'!$C$11="Oui"),AND(ISNUMBER(SEARCH("BC",$E29)),'Exemple profil'!$C$12="Oui"),AND(ISNUMBER(SEARCH("VAE",$E29)),'Exemple profil'!$C$13="Oui")),IFERROR(INDEX('Exemple profil'!$C$17:$C$20,MATCH($F29,'Exemple profil'!$B$17:$B$20,0)),"")&lt;&gt;"Non"),"Oui","Non"))</f>
        <v>Oui</v>
      </c>
      <c r="K29" s="33" t="s">
        <v>234</v>
      </c>
      <c r="L29" s="32" t="str">
        <f aca="false">IF(OR($J29&lt;&gt;"Oui",K29="",K29="Sans objet"),"",IF(K29="Conforme","Aucun écart",IF(OR(K29="Non conforme",G29="Majeure seulement"),"Majeure probable","Mineure probable")))</f>
        <v>Mineure probable</v>
      </c>
      <c r="M29" s="34" t="s">
        <v>267</v>
      </c>
      <c r="N29" s="34" t="s">
        <v>268</v>
      </c>
      <c r="O29" s="34" t="s">
        <v>269</v>
      </c>
      <c r="P29" s="34" t="s">
        <v>242</v>
      </c>
      <c r="Q29" s="35" t="n">
        <v>46353</v>
      </c>
      <c r="R29" s="25" t="str">
        <f aca="false">IF(L29="Majeure probable",COUNTIF(L$7:L29,"Majeure probable"),"")</f>
        <v/>
      </c>
    </row>
    <row r="30" customFormat="false" ht="33.75" hidden="false" customHeight="true" outlineLevel="0" collapsed="false">
      <c r="A30" s="22" t="n">
        <v>6</v>
      </c>
      <c r="B30" s="22" t="n">
        <v>24</v>
      </c>
      <c r="C30" s="23" t="s">
        <v>152</v>
      </c>
      <c r="D30" s="22" t="s">
        <v>109</v>
      </c>
      <c r="E30" s="22" t="s">
        <v>99</v>
      </c>
      <c r="F30" s="24"/>
      <c r="G30" s="22" t="s">
        <v>100</v>
      </c>
      <c r="H30" s="22" t="s">
        <v>103</v>
      </c>
      <c r="I30" s="24" t="s">
        <v>153</v>
      </c>
      <c r="J30" s="25" t="str">
        <f aca="false">IF(COUNTIF('Exemple profil'!$C$11:$C$14,"Oui")=0,"",IF(AND(OR(AND(ISNUMBER(SEARCH("CFA",$E30)),'Exemple profil'!$C$14="Oui"),AND(ISNUMBER(SEARCH("AF",$E30)),'Exemple profil'!$C$11="Oui"),AND(ISNUMBER(SEARCH("BC",$E30)),'Exemple profil'!$C$12="Oui"),AND(ISNUMBER(SEARCH("VAE",$E30)),'Exemple profil'!$C$13="Oui")),IFERROR(INDEX('Exemple profil'!$C$17:$C$20,MATCH($F30,'Exemple profil'!$B$17:$B$20,0)),"")&lt;&gt;"Non"),"Oui","Non"))</f>
        <v>Oui</v>
      </c>
      <c r="K30" s="26" t="s">
        <v>247</v>
      </c>
      <c r="L30" s="25" t="str">
        <f aca="false">IF(OR($J30&lt;&gt;"Oui",K30="",K30="Sans objet"),"",IF(K30="Conforme","Aucun écart",IF(OR(K30="Non conforme",G30="Majeure seulement"),"Majeure probable","Mineure probable")))</f>
        <v>Aucun écart</v>
      </c>
      <c r="M30" s="27" t="s">
        <v>270</v>
      </c>
      <c r="N30" s="27"/>
      <c r="O30" s="27"/>
      <c r="P30" s="27"/>
      <c r="Q30" s="28"/>
      <c r="R30" s="25" t="str">
        <f aca="false">IF(L30="Majeure probable",COUNTIF(L$7:L30,"Majeure probable"),"")</f>
        <v/>
      </c>
    </row>
    <row r="31" customFormat="false" ht="33.75" hidden="false" customHeight="true" outlineLevel="0" collapsed="false">
      <c r="A31" s="22" t="n">
        <v>6</v>
      </c>
      <c r="B31" s="22" t="n">
        <v>25</v>
      </c>
      <c r="C31" s="23" t="s">
        <v>154</v>
      </c>
      <c r="D31" s="22" t="s">
        <v>109</v>
      </c>
      <c r="E31" s="22" t="s">
        <v>99</v>
      </c>
      <c r="F31" s="24"/>
      <c r="G31" s="22" t="s">
        <v>100</v>
      </c>
      <c r="H31" s="22" t="s">
        <v>103</v>
      </c>
      <c r="I31" s="24" t="s">
        <v>155</v>
      </c>
      <c r="J31" s="25" t="str">
        <f aca="false">IF(COUNTIF('Exemple profil'!$C$11:$C$14,"Oui")=0,"",IF(AND(OR(AND(ISNUMBER(SEARCH("CFA",$E31)),'Exemple profil'!$C$14="Oui"),AND(ISNUMBER(SEARCH("AF",$E31)),'Exemple profil'!$C$11="Oui"),AND(ISNUMBER(SEARCH("BC",$E31)),'Exemple profil'!$C$12="Oui"),AND(ISNUMBER(SEARCH("VAE",$E31)),'Exemple profil'!$C$13="Oui")),IFERROR(INDEX('Exemple profil'!$C$17:$C$20,MATCH($F31,'Exemple profil'!$B$17:$B$20,0)),"")&lt;&gt;"Non"),"Oui","Non"))</f>
        <v>Oui</v>
      </c>
      <c r="K31" s="26" t="s">
        <v>247</v>
      </c>
      <c r="L31" s="25" t="str">
        <f aca="false">IF(OR($J31&lt;&gt;"Oui",K31="",K31="Sans objet"),"",IF(K31="Conforme","Aucun écart",IF(OR(K31="Non conforme",G31="Majeure seulement"),"Majeure probable","Mineure probable")))</f>
        <v>Aucun écart</v>
      </c>
      <c r="M31" s="27" t="s">
        <v>271</v>
      </c>
      <c r="N31" s="27"/>
      <c r="O31" s="27"/>
      <c r="P31" s="27"/>
      <c r="Q31" s="28"/>
      <c r="R31" s="25" t="str">
        <f aca="false">IF(L31="Majeure probable",COUNTIF(L$7:L31,"Majeure probable"),"")</f>
        <v/>
      </c>
    </row>
    <row r="32" customFormat="false" ht="39.75" hidden="false" customHeight="true" outlineLevel="0" collapsed="false">
      <c r="A32" s="22" t="n">
        <v>6</v>
      </c>
      <c r="B32" s="22" t="n">
        <v>26</v>
      </c>
      <c r="C32" s="23" t="s">
        <v>156</v>
      </c>
      <c r="D32" s="22" t="s">
        <v>109</v>
      </c>
      <c r="E32" s="22" t="s">
        <v>99</v>
      </c>
      <c r="F32" s="24"/>
      <c r="G32" s="22" t="s">
        <v>110</v>
      </c>
      <c r="H32" s="22" t="s">
        <v>103</v>
      </c>
      <c r="I32" s="24" t="s">
        <v>157</v>
      </c>
      <c r="J32" s="25" t="str">
        <f aca="false">IF(COUNTIF('Exemple profil'!$C$11:$C$14,"Oui")=0,"",IF(AND(OR(AND(ISNUMBER(SEARCH("CFA",$E32)),'Exemple profil'!$C$14="Oui"),AND(ISNUMBER(SEARCH("AF",$E32)),'Exemple profil'!$C$11="Oui"),AND(ISNUMBER(SEARCH("BC",$E32)),'Exemple profil'!$C$12="Oui"),AND(ISNUMBER(SEARCH("VAE",$E32)),'Exemple profil'!$C$13="Oui")),IFERROR(INDEX('Exemple profil'!$C$17:$C$20,MATCH($F32,'Exemple profil'!$B$17:$B$20,0)),"")&lt;&gt;"Non"),"Oui","Non"))</f>
        <v>Oui</v>
      </c>
      <c r="K32" s="26" t="s">
        <v>247</v>
      </c>
      <c r="L32" s="25" t="str">
        <f aca="false">IF(OR($J32&lt;&gt;"Oui",K32="",K32="Sans objet"),"",IF(K32="Conforme","Aucun écart",IF(OR(K32="Non conforme",G32="Majeure seulement"),"Majeure probable","Mineure probable")))</f>
        <v>Aucun écart</v>
      </c>
      <c r="M32" s="27" t="s">
        <v>272</v>
      </c>
      <c r="N32" s="27"/>
      <c r="O32" s="27"/>
      <c r="P32" s="27"/>
      <c r="Q32" s="28"/>
      <c r="R32" s="25" t="str">
        <f aca="false">IF(L32="Majeure probable",COUNTIF(L$7:L32,"Majeure probable"),"")</f>
        <v/>
      </c>
    </row>
    <row r="33" customFormat="false" ht="39.75" hidden="false" customHeight="true" outlineLevel="0" collapsed="false">
      <c r="A33" s="22" t="n">
        <v>6</v>
      </c>
      <c r="B33" s="22" t="n">
        <v>27</v>
      </c>
      <c r="C33" s="23" t="s">
        <v>158</v>
      </c>
      <c r="D33" s="22" t="s">
        <v>98</v>
      </c>
      <c r="E33" s="22" t="s">
        <v>99</v>
      </c>
      <c r="F33" s="24" t="s">
        <v>55</v>
      </c>
      <c r="G33" s="22" t="s">
        <v>110</v>
      </c>
      <c r="H33" s="22"/>
      <c r="I33" s="24" t="s">
        <v>159</v>
      </c>
      <c r="J33" s="25" t="str">
        <f aca="false">IF(COUNTIF('Exemple profil'!$C$11:$C$14,"Oui")=0,"",IF(AND(OR(AND(ISNUMBER(SEARCH("CFA",$E33)),'Exemple profil'!$C$14="Oui"),AND(ISNUMBER(SEARCH("AF",$E33)),'Exemple profil'!$C$11="Oui"),AND(ISNUMBER(SEARCH("BC",$E33)),'Exemple profil'!$C$12="Oui"),AND(ISNUMBER(SEARCH("VAE",$E33)),'Exemple profil'!$C$13="Oui")),IFERROR(INDEX('Exemple profil'!$C$17:$C$20,MATCH($F33,'Exemple profil'!$B$17:$B$20,0)),"")&lt;&gt;"Non"),"Oui","Non"))</f>
        <v>Oui</v>
      </c>
      <c r="K33" s="26" t="s">
        <v>234</v>
      </c>
      <c r="L33" s="25" t="str">
        <f aca="false">IF(OR($J33&lt;&gt;"Oui",K33="",K33="Sans objet"),"",IF(K33="Conforme","Aucun écart",IF(OR(K33="Non conforme",G33="Majeure seulement"),"Majeure probable","Mineure probable")))</f>
        <v>Majeure probable</v>
      </c>
      <c r="M33" s="27" t="s">
        <v>273</v>
      </c>
      <c r="N33" s="27" t="s">
        <v>274</v>
      </c>
      <c r="O33" s="27" t="s">
        <v>275</v>
      </c>
      <c r="P33" s="27" t="s">
        <v>238</v>
      </c>
      <c r="Q33" s="28" t="n">
        <v>46339</v>
      </c>
      <c r="R33" s="25" t="n">
        <f aca="false">IF(L33="Majeure probable",COUNTIF(L$7:L33,"Majeure probable"),"")</f>
        <v>1</v>
      </c>
    </row>
    <row r="34" customFormat="false" ht="39.75" hidden="false" customHeight="true" outlineLevel="0" collapsed="false">
      <c r="A34" s="22" t="n">
        <v>6</v>
      </c>
      <c r="B34" s="22" t="n">
        <v>28</v>
      </c>
      <c r="C34" s="23" t="s">
        <v>160</v>
      </c>
      <c r="D34" s="22" t="s">
        <v>109</v>
      </c>
      <c r="E34" s="22" t="s">
        <v>117</v>
      </c>
      <c r="F34" s="24" t="s">
        <v>53</v>
      </c>
      <c r="G34" s="22" t="s">
        <v>100</v>
      </c>
      <c r="H34" s="22"/>
      <c r="I34" s="24" t="s">
        <v>161</v>
      </c>
      <c r="J34" s="25" t="str">
        <f aca="false">IF(COUNTIF('Exemple profil'!$C$11:$C$14,"Oui")=0,"",IF(AND(OR(AND(ISNUMBER(SEARCH("CFA",$E34)),'Exemple profil'!$C$14="Oui"),AND(ISNUMBER(SEARCH("AF",$E34)),'Exemple profil'!$C$11="Oui"),AND(ISNUMBER(SEARCH("BC",$E34)),'Exemple profil'!$C$12="Oui"),AND(ISNUMBER(SEARCH("VAE",$E34)),'Exemple profil'!$C$13="Oui")),IFERROR(INDEX('Exemple profil'!$C$17:$C$20,MATCH($F34,'Exemple profil'!$B$17:$B$20,0)),"")&lt;&gt;"Non"),"Oui","Non"))</f>
        <v>Non</v>
      </c>
      <c r="K34" s="26"/>
      <c r="L34" s="25" t="str">
        <f aca="false">IF(OR($J34&lt;&gt;"Oui",K34="",K34="Sans objet"),"",IF(K34="Conforme","Aucun écart",IF(OR(K34="Non conforme",G34="Majeure seulement"),"Majeure probable","Mineure probable")))</f>
        <v/>
      </c>
      <c r="M34" s="27"/>
      <c r="N34" s="27"/>
      <c r="O34" s="27"/>
      <c r="P34" s="27"/>
      <c r="Q34" s="28"/>
      <c r="R34" s="25" t="str">
        <f aca="false">IF(L34="Majeure probable",COUNTIF(L$7:L34,"Majeure probable"),"")</f>
        <v/>
      </c>
    </row>
    <row r="35" customFormat="false" ht="39.75" hidden="false" customHeight="true" outlineLevel="0" collapsed="false">
      <c r="A35" s="22" t="n">
        <v>6</v>
      </c>
      <c r="B35" s="22" t="n">
        <v>29</v>
      </c>
      <c r="C35" s="23" t="s">
        <v>162</v>
      </c>
      <c r="D35" s="22" t="s">
        <v>109</v>
      </c>
      <c r="E35" s="22" t="s">
        <v>132</v>
      </c>
      <c r="F35" s="24"/>
      <c r="G35" s="22" t="s">
        <v>110</v>
      </c>
      <c r="H35" s="22"/>
      <c r="I35" s="24" t="s">
        <v>163</v>
      </c>
      <c r="J35" s="25" t="str">
        <f aca="false">IF(COUNTIF('Exemple profil'!$C$11:$C$14,"Oui")=0,"",IF(AND(OR(AND(ISNUMBER(SEARCH("CFA",$E35)),'Exemple profil'!$C$14="Oui"),AND(ISNUMBER(SEARCH("AF",$E35)),'Exemple profil'!$C$11="Oui"),AND(ISNUMBER(SEARCH("BC",$E35)),'Exemple profil'!$C$12="Oui"),AND(ISNUMBER(SEARCH("VAE",$E35)),'Exemple profil'!$C$13="Oui")),IFERROR(INDEX('Exemple profil'!$C$17:$C$20,MATCH($F35,'Exemple profil'!$B$17:$B$20,0)),"")&lt;&gt;"Non"),"Oui","Non"))</f>
        <v>Non</v>
      </c>
      <c r="K35" s="26"/>
      <c r="L35" s="25" t="str">
        <f aca="false">IF(OR($J35&lt;&gt;"Oui",K35="",K35="Sans objet"),"",IF(K35="Conforme","Aucun écart",IF(OR(K35="Non conforme",G35="Majeure seulement"),"Majeure probable","Mineure probable")))</f>
        <v/>
      </c>
      <c r="M35" s="27"/>
      <c r="N35" s="27"/>
      <c r="O35" s="27"/>
      <c r="P35" s="27"/>
      <c r="Q35" s="28"/>
      <c r="R35" s="25" t="str">
        <f aca="false">IF(L35="Majeure probable",COUNTIF(L$7:L35,"Majeure probable"),"")</f>
        <v/>
      </c>
    </row>
    <row r="36" customFormat="false" ht="39.75" hidden="false" customHeight="true" outlineLevel="0" collapsed="false">
      <c r="A36" s="29" t="n">
        <v>7</v>
      </c>
      <c r="B36" s="29" t="n">
        <v>30</v>
      </c>
      <c r="C36" s="30" t="s">
        <v>164</v>
      </c>
      <c r="D36" s="29" t="s">
        <v>98</v>
      </c>
      <c r="E36" s="29" t="s">
        <v>99</v>
      </c>
      <c r="F36" s="31"/>
      <c r="G36" s="29" t="s">
        <v>100</v>
      </c>
      <c r="H36" s="29"/>
      <c r="I36" s="31" t="s">
        <v>165</v>
      </c>
      <c r="J36" s="32" t="str">
        <f aca="false">IF(COUNTIF('Exemple profil'!$C$11:$C$14,"Oui")=0,"",IF(AND(OR(AND(ISNUMBER(SEARCH("CFA",$E36)),'Exemple profil'!$C$14="Oui"),AND(ISNUMBER(SEARCH("AF",$E36)),'Exemple profil'!$C$11="Oui"),AND(ISNUMBER(SEARCH("BC",$E36)),'Exemple profil'!$C$12="Oui"),AND(ISNUMBER(SEARCH("VAE",$E36)),'Exemple profil'!$C$13="Oui")),IFERROR(INDEX('Exemple profil'!$C$17:$C$20,MATCH($F36,'Exemple profil'!$B$17:$B$20,0)),"")&lt;&gt;"Non"),"Oui","Non"))</f>
        <v>Oui</v>
      </c>
      <c r="K36" s="33" t="s">
        <v>234</v>
      </c>
      <c r="L36" s="32" t="str">
        <f aca="false">IF(OR($J36&lt;&gt;"Oui",K36="",K36="Sans objet"),"",IF(K36="Conforme","Aucun écart",IF(OR(K36="Non conforme",G36="Majeure seulement"),"Majeure probable","Mineure probable")))</f>
        <v>Mineure probable</v>
      </c>
      <c r="M36" s="34" t="s">
        <v>276</v>
      </c>
      <c r="N36" s="34" t="s">
        <v>277</v>
      </c>
      <c r="O36" s="34" t="s">
        <v>278</v>
      </c>
      <c r="P36" s="34" t="s">
        <v>242</v>
      </c>
      <c r="Q36" s="35" t="n">
        <v>46374</v>
      </c>
      <c r="R36" s="25" t="str">
        <f aca="false">IF(L36="Majeure probable",COUNTIF(L$7:L36,"Majeure probable"),"")</f>
        <v/>
      </c>
    </row>
    <row r="37" customFormat="false" ht="39.75" hidden="false" customHeight="true" outlineLevel="0" collapsed="false">
      <c r="A37" s="22" t="n">
        <v>7</v>
      </c>
      <c r="B37" s="22" t="n">
        <v>31</v>
      </c>
      <c r="C37" s="23" t="s">
        <v>166</v>
      </c>
      <c r="D37" s="22" t="s">
        <v>167</v>
      </c>
      <c r="E37" s="22" t="s">
        <v>99</v>
      </c>
      <c r="F37" s="24"/>
      <c r="G37" s="22" t="s">
        <v>110</v>
      </c>
      <c r="H37" s="22"/>
      <c r="I37" s="24" t="s">
        <v>168</v>
      </c>
      <c r="J37" s="25" t="str">
        <f aca="false">IF(COUNTIF('Exemple profil'!$C$11:$C$14,"Oui")=0,"",IF(AND(OR(AND(ISNUMBER(SEARCH("CFA",$E37)),'Exemple profil'!$C$14="Oui"),AND(ISNUMBER(SEARCH("AF",$E37)),'Exemple profil'!$C$11="Oui"),AND(ISNUMBER(SEARCH("BC",$E37)),'Exemple profil'!$C$12="Oui"),AND(ISNUMBER(SEARCH("VAE",$E37)),'Exemple profil'!$C$13="Oui")),IFERROR(INDEX('Exemple profil'!$C$17:$C$20,MATCH($F37,'Exemple profil'!$B$17:$B$20,0)),"")&lt;&gt;"Non"),"Oui","Non"))</f>
        <v>Oui</v>
      </c>
      <c r="K37" s="26" t="s">
        <v>247</v>
      </c>
      <c r="L37" s="25" t="str">
        <f aca="false">IF(OR($J37&lt;&gt;"Oui",K37="",K37="Sans objet"),"",IF(K37="Conforme","Aucun écart",IF(OR(K37="Non conforme",G37="Majeure seulement"),"Majeure probable","Mineure probable")))</f>
        <v>Aucun écart</v>
      </c>
      <c r="M37" s="27" t="s">
        <v>279</v>
      </c>
      <c r="N37" s="27"/>
      <c r="O37" s="27"/>
      <c r="P37" s="27"/>
      <c r="Q37" s="28"/>
      <c r="R37" s="25" t="str">
        <f aca="false">IF(L37="Majeure probable",COUNTIF(L$7:L37,"Majeure probable"),"")</f>
        <v/>
      </c>
    </row>
    <row r="38" customFormat="false" ht="39.75" hidden="false" customHeight="true" outlineLevel="0" collapsed="false">
      <c r="A38" s="22" t="n">
        <v>7</v>
      </c>
      <c r="B38" s="22" t="n">
        <v>32</v>
      </c>
      <c r="C38" s="23" t="s">
        <v>169</v>
      </c>
      <c r="D38" s="22" t="s">
        <v>98</v>
      </c>
      <c r="E38" s="22" t="s">
        <v>99</v>
      </c>
      <c r="F38" s="24"/>
      <c r="G38" s="22" t="s">
        <v>110</v>
      </c>
      <c r="H38" s="22" t="s">
        <v>103</v>
      </c>
      <c r="I38" s="24" t="s">
        <v>170</v>
      </c>
      <c r="J38" s="25" t="str">
        <f aca="false">IF(COUNTIF('Exemple profil'!$C$11:$C$14,"Oui")=0,"",IF(AND(OR(AND(ISNUMBER(SEARCH("CFA",$E38)),'Exemple profil'!$C$14="Oui"),AND(ISNUMBER(SEARCH("AF",$E38)),'Exemple profil'!$C$11="Oui"),AND(ISNUMBER(SEARCH("BC",$E38)),'Exemple profil'!$C$12="Oui"),AND(ISNUMBER(SEARCH("VAE",$E38)),'Exemple profil'!$C$13="Oui")),IFERROR(INDEX('Exemple profil'!$C$17:$C$20,MATCH($F38,'Exemple profil'!$B$17:$B$20,0)),"")&lt;&gt;"Non"),"Oui","Non"))</f>
        <v>Oui</v>
      </c>
      <c r="K38" s="26" t="s">
        <v>280</v>
      </c>
      <c r="L38" s="25" t="str">
        <f aca="false">IF(OR($J38&lt;&gt;"Oui",K38="",K38="Sans objet"),"",IF(K38="Conforme","Aucun écart",IF(OR(K38="Non conforme",G38="Majeure seulement"),"Majeure probable","Mineure probable")))</f>
        <v>Majeure probable</v>
      </c>
      <c r="M38" s="27" t="s">
        <v>281</v>
      </c>
      <c r="N38" s="27" t="s">
        <v>282</v>
      </c>
      <c r="O38" s="27" t="s">
        <v>283</v>
      </c>
      <c r="P38" s="27" t="s">
        <v>242</v>
      </c>
      <c r="Q38" s="28" t="n">
        <v>46360</v>
      </c>
      <c r="R38" s="25" t="n">
        <f aca="false">IF(L38="Majeure probable",COUNTIF(L$7:L38,"Majeure probable"),"")</f>
        <v>2</v>
      </c>
    </row>
    <row r="39" customFormat="false" ht="51" hidden="false" customHeight="true" outlineLevel="0" collapsed="false">
      <c r="A39" s="22" t="n">
        <v>7</v>
      </c>
      <c r="B39" s="22" t="n">
        <v>33</v>
      </c>
      <c r="C39" s="23" t="s">
        <v>171</v>
      </c>
      <c r="D39" s="22" t="s">
        <v>172</v>
      </c>
      <c r="E39" s="22" t="s">
        <v>132</v>
      </c>
      <c r="F39" s="24"/>
      <c r="G39" s="22" t="s">
        <v>100</v>
      </c>
      <c r="H39" s="22"/>
      <c r="I39" s="24" t="s">
        <v>173</v>
      </c>
      <c r="J39" s="25" t="str">
        <f aca="false">IF(COUNTIF('Exemple profil'!$C$11:$C$14,"Oui")=0,"",IF(AND(OR(AND(ISNUMBER(SEARCH("CFA",$E39)),'Exemple profil'!$C$14="Oui"),AND(ISNUMBER(SEARCH("AF",$E39)),'Exemple profil'!$C$11="Oui"),AND(ISNUMBER(SEARCH("BC",$E39)),'Exemple profil'!$C$12="Oui"),AND(ISNUMBER(SEARCH("VAE",$E39)),'Exemple profil'!$C$13="Oui")),IFERROR(INDEX('Exemple profil'!$C$17:$C$20,MATCH($F39,'Exemple profil'!$B$17:$B$20,0)),"")&lt;&gt;"Non"),"Oui","Non"))</f>
        <v>Non</v>
      </c>
      <c r="K39" s="26"/>
      <c r="L39" s="25" t="str">
        <f aca="false">IF(OR($J39&lt;&gt;"Oui",K39="",K39="Sans objet"),"",IF(K39="Conforme","Aucun écart",IF(OR(K39="Non conforme",G39="Majeure seulement"),"Majeure probable","Mineure probable")))</f>
        <v/>
      </c>
      <c r="M39" s="27"/>
      <c r="N39" s="27"/>
      <c r="O39" s="27"/>
      <c r="P39" s="27"/>
      <c r="Q39" s="28"/>
      <c r="R39" s="25" t="str">
        <f aca="false">IF(L39="Majeure probable",COUNTIF(L$7:L39,"Majeure probable"),"")</f>
        <v/>
      </c>
    </row>
  </sheetData>
  <mergeCells count="4">
    <mergeCell ref="A4:K4"/>
    <mergeCell ref="A5:H5"/>
    <mergeCell ref="J5:L5"/>
    <mergeCell ref="M5:Q5"/>
  </mergeCells>
  <conditionalFormatting sqref="K7:K39">
    <cfRule type="expression" priority="2" aboveAverage="0" equalAverage="0" bottom="0" percent="0" rank="0" text="" dxfId="1">
      <formula>$K7="Conforme"</formula>
    </cfRule>
    <cfRule type="expression" priority="3" aboveAverage="0" equalAverage="0" bottom="0" percent="0" rank="0" text="" dxfId="2">
      <formula>$K7="Partiel"</formula>
    </cfRule>
    <cfRule type="expression" priority="4" aboveAverage="0" equalAverage="0" bottom="0" percent="0" rank="0" text="" dxfId="0">
      <formula>$K7="Non conforme"</formula>
    </cfRule>
    <cfRule type="expression" priority="5" aboveAverage="0" equalAverage="0" bottom="0" percent="0" rank="0" text="" dxfId="3">
      <formula>$K7="Sans objet"</formula>
    </cfRule>
  </conditionalFormatting>
  <conditionalFormatting sqref="L7:L39">
    <cfRule type="expression" priority="6" aboveAverage="0" equalAverage="0" bottom="0" percent="0" rank="0" text="" dxfId="0">
      <formula>$L7="Majeure probable"</formula>
    </cfRule>
    <cfRule type="expression" priority="7" aboveAverage="0" equalAverage="0" bottom="0" percent="0" rank="0" text="" dxfId="2">
      <formula>$L7="Mineure probable"</formula>
    </cfRule>
    <cfRule type="expression" priority="8" aboveAverage="0" equalAverage="0" bottom="0" percent="0" rank="0" text="" dxfId="1">
      <formula>$L7="Aucun écart"</formula>
    </cfRule>
  </conditionalFormatting>
  <conditionalFormatting sqref="D7:D39">
    <cfRule type="expression" priority="9" aboveAverage="0" equalAverage="0" bottom="0" percent="0" rank="0" text="" dxfId="0">
      <formula>$D7="Nouveau"</formula>
    </cfRule>
    <cfRule type="expression" priority="10" aboveAverage="0" equalAverage="0" bottom="0" percent="0" rank="0" text="" dxfId="2">
      <formula>$D7="Modifié"</formula>
    </cfRule>
  </conditionalFormatting>
  <conditionalFormatting sqref="A7:I39">
    <cfRule type="expression" priority="11" aboveAverage="0" equalAverage="0" bottom="0" percent="0" rank="0" text="" dxfId="4">
      <formula>$J7="Non"</formula>
    </cfRule>
  </conditionalFormatting>
  <conditionalFormatting sqref="J7:J39">
    <cfRule type="expression" priority="12" aboveAverage="0" equalAverage="0" bottom="0" percent="0" rank="0" text="" dxfId="4">
      <formula>$J7="Non"</formula>
    </cfRule>
  </conditionalFormatting>
  <conditionalFormatting sqref="N7:O39">
    <cfRule type="expression" priority="13" aboveAverage="0" equalAverage="0" bottom="0" percent="0" rank="0" text="" dxfId="5">
      <formula>AND($K7&lt;&gt;"",$K7&lt;&gt;"Conforme",$K7&lt;&gt;"Sans objet",N7="")</formula>
    </cfRule>
  </conditionalFormatting>
  <dataValidations count="1">
    <dataValidation allowBlank="true" errorStyle="stop" operator="between" prompt="Conforme, Partiel, Non conforme ou Sans objet" promptTitle="Choisir" showDropDown="false" showErrorMessage="false" showInputMessage="true" sqref="K7:K39" type="list">
      <formula1>Listes!$B$4:$B$7</formula1>
      <formula2>0</formula2>
    </dataValidation>
  </dataValidations>
  <printOptions headings="false" gridLines="false" gridLinesSet="true" horizontalCentered="false" verticalCentered="false"/>
  <pageMargins left="0.4" right="0.4" top="0.5" bottom="0.6" header="0.511811023622047" footer="0.5"/>
  <pageSetup paperSize="9" scale="100" fitToWidth="2"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J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6"/>
    <col collapsed="false" customWidth="true" hidden="false" outlineLevel="0" max="5" min="3" style="0" width="12"/>
    <col collapsed="false" customWidth="true" hidden="false" outlineLevel="0" max="6" min="6" style="0" width="13"/>
    <col collapsed="false" customWidth="true" hidden="false" outlineLevel="0" max="7" min="7" style="0" width="12"/>
    <col collapsed="false" customWidth="true" hidden="false" outlineLevel="0" max="10" min="8" style="0" width="13"/>
  </cols>
  <sheetData>
    <row r="1" customFormat="false" ht="21.75" hidden="false" customHeight="true" outlineLevel="0" collapsed="false">
      <c r="A1" s="1" t="s">
        <v>174</v>
      </c>
      <c r="B1" s="2"/>
      <c r="C1" s="2"/>
      <c r="D1" s="2"/>
      <c r="E1" s="2"/>
      <c r="F1" s="2"/>
      <c r="G1" s="2"/>
      <c r="H1" s="2"/>
      <c r="I1" s="2"/>
      <c r="J1" s="2"/>
    </row>
    <row r="2" customFormat="false" ht="25.5" hidden="false" customHeight="true" outlineLevel="0" collapsed="false">
      <c r="A2" s="3" t="s">
        <v>284</v>
      </c>
    </row>
    <row r="3" customFormat="false" ht="15" hidden="false" customHeight="false" outlineLevel="0" collapsed="false">
      <c r="A3" s="36" t="str">
        <f aca="false">"Organisme : "&amp;IF('Exemple profil'!$C$6="","(à renseigner)",'Exemple profil'!$C$6)&amp;"   ·   catégories : "&amp;TRIM(IF('Exemple profil'!$C$11="Oui","AF ","")&amp;IF('Exemple profil'!$C$12="Oui","BC ","")&amp;IF('Exemple profil'!$C$13="Oui","VAE ","")&amp;IF('Exemple profil'!$C$14="Oui","CFA",""))</f>
        <v>Organisme : Les Ateliers du Clos Fleuri (organisme fictif)   ·   catégories : AF</v>
      </c>
      <c r="B3" s="36"/>
      <c r="C3" s="36"/>
      <c r="D3" s="36"/>
      <c r="E3" s="36"/>
      <c r="F3" s="36"/>
      <c r="G3" s="36"/>
      <c r="H3" s="37" t="s">
        <v>176</v>
      </c>
      <c r="I3" s="37"/>
      <c r="J3" s="38" t="n">
        <f aca="false">IF('Exemple profil'!$C$9="","",'Exemple profil'!$C$9)</f>
        <v>46315</v>
      </c>
    </row>
    <row r="5" customFormat="false" ht="19.5" hidden="false" customHeight="true" outlineLevel="0" collapsed="false">
      <c r="A5" s="11" t="s">
        <v>177</v>
      </c>
      <c r="B5" s="11"/>
      <c r="C5" s="11"/>
      <c r="D5" s="11"/>
      <c r="E5" s="11"/>
      <c r="F5" s="11"/>
      <c r="G5" s="11"/>
      <c r="H5" s="11"/>
      <c r="I5" s="11"/>
      <c r="J5" s="11"/>
    </row>
    <row r="6" customFormat="false" ht="18.75" hidden="false" customHeight="true" outlineLevel="0" collapsed="false">
      <c r="A6" s="39"/>
      <c r="B6" s="12" t="s">
        <v>178</v>
      </c>
      <c r="C6" s="19" t="n">
        <f aca="false">COUNTA('Exemple diagnostic'!$B$7:$B$39)</f>
        <v>33</v>
      </c>
      <c r="D6" s="40" t="s">
        <v>179</v>
      </c>
      <c r="E6" s="40"/>
      <c r="F6" s="40"/>
      <c r="G6" s="40"/>
      <c r="H6" s="40"/>
      <c r="I6" s="40"/>
      <c r="J6" s="40"/>
    </row>
    <row r="7" customFormat="false" ht="18.75" hidden="false" customHeight="true" outlineLevel="0" collapsed="false">
      <c r="A7" s="39"/>
      <c r="B7" s="12" t="s">
        <v>67</v>
      </c>
      <c r="C7" s="19" t="n">
        <f aca="false">COUNTIF('Exemple diagnostic'!$J$7:$J$39,"Oui")</f>
        <v>26</v>
      </c>
      <c r="D7" s="40" t="s">
        <v>180</v>
      </c>
      <c r="E7" s="40"/>
      <c r="F7" s="40"/>
      <c r="G7" s="40"/>
      <c r="H7" s="40"/>
      <c r="I7" s="40"/>
      <c r="J7" s="40"/>
    </row>
    <row r="8" customFormat="false" ht="18.75" hidden="false" customHeight="true" outlineLevel="0" collapsed="false">
      <c r="A8" s="39"/>
      <c r="B8" s="12" t="s">
        <v>181</v>
      </c>
      <c r="C8" s="19" t="n">
        <f aca="false">COUNTIFS('Exemple diagnostic'!$J$7:$J$39,"Oui",'Exemple diagnostic'!$K$7:$K$39,"Sans objet")</f>
        <v>0</v>
      </c>
      <c r="D8" s="40" t="s">
        <v>182</v>
      </c>
      <c r="E8" s="40"/>
      <c r="F8" s="40"/>
      <c r="G8" s="40"/>
      <c r="H8" s="40"/>
      <c r="I8" s="40"/>
      <c r="J8" s="40"/>
    </row>
    <row r="9" customFormat="false" ht="18.75" hidden="false" customHeight="true" outlineLevel="0" collapsed="false">
      <c r="A9" s="39"/>
      <c r="B9" s="12" t="s">
        <v>183</v>
      </c>
      <c r="C9" s="19" t="n">
        <f aca="false">C7-C8</f>
        <v>26</v>
      </c>
    </row>
    <row r="10" customFormat="false" ht="18.75" hidden="false" customHeight="true" outlineLevel="0" collapsed="false">
      <c r="A10" s="39"/>
      <c r="B10" s="12" t="s">
        <v>184</v>
      </c>
      <c r="C10" s="19" t="n">
        <f aca="false">COUNTIFS('Exemple diagnostic'!$J$7:$J$39,"Oui",'Exemple diagnostic'!$K$7:$K$39,"Conforme")</f>
        <v>17</v>
      </c>
    </row>
    <row r="11" customFormat="false" ht="18.75" hidden="false" customHeight="true" outlineLevel="0" collapsed="false">
      <c r="A11" s="39"/>
      <c r="B11" s="12" t="s">
        <v>185</v>
      </c>
      <c r="C11" s="19" t="n">
        <f aca="false">COUNTIFS('Exemple diagnostic'!$J$7:$J$39,"Oui",'Exemple diagnostic'!$K$7:$K$39,"Partiel")</f>
        <v>8</v>
      </c>
    </row>
    <row r="12" customFormat="false" ht="18.75" hidden="false" customHeight="true" outlineLevel="0" collapsed="false">
      <c r="A12" s="39"/>
      <c r="B12" s="12" t="s">
        <v>186</v>
      </c>
      <c r="C12" s="19" t="n">
        <f aca="false">COUNTIFS('Exemple diagnostic'!$J$7:$J$39,"Oui",'Exemple diagnostic'!$K$7:$K$39,"Non conforme")</f>
        <v>1</v>
      </c>
    </row>
    <row r="13" customFormat="false" ht="18.75" hidden="false" customHeight="true" outlineLevel="0" collapsed="false">
      <c r="A13" s="39"/>
      <c r="B13" s="12" t="s">
        <v>187</v>
      </c>
      <c r="C13" s="19" t="n">
        <f aca="false">C9-C10-C11-C12</f>
        <v>0</v>
      </c>
    </row>
    <row r="14" customFormat="false" ht="18.75" hidden="false" customHeight="true" outlineLevel="0" collapsed="false">
      <c r="A14" s="39"/>
      <c r="B14" s="12" t="s">
        <v>188</v>
      </c>
      <c r="C14" s="41" t="n">
        <f aca="false">IF(C9=0,"",C10/C9)</f>
        <v>0.653846153846154</v>
      </c>
      <c r="D14" s="40" t="s">
        <v>189</v>
      </c>
      <c r="E14" s="40"/>
      <c r="F14" s="40"/>
      <c r="G14" s="40"/>
      <c r="H14" s="40"/>
      <c r="I14" s="40"/>
      <c r="J14" s="40"/>
    </row>
    <row r="15" customFormat="false" ht="18.75" hidden="false" customHeight="true" outlineLevel="0" collapsed="false">
      <c r="A15" s="39"/>
      <c r="B15" s="12" t="s">
        <v>190</v>
      </c>
      <c r="C15" s="41" t="n">
        <f aca="false">IF(C9=0,"",(C10+C11+C12)/C9)</f>
        <v>1</v>
      </c>
    </row>
    <row r="17" customFormat="false" ht="19.5" hidden="false" customHeight="true" outlineLevel="0" collapsed="false">
      <c r="A17" s="17" t="s">
        <v>191</v>
      </c>
      <c r="B17" s="17"/>
      <c r="C17" s="17"/>
      <c r="D17" s="17"/>
      <c r="E17" s="17"/>
      <c r="F17" s="17"/>
      <c r="G17" s="17"/>
      <c r="H17" s="17"/>
      <c r="I17" s="17"/>
      <c r="J17" s="17"/>
    </row>
    <row r="18" customFormat="false" ht="18.75" hidden="false" customHeight="true" outlineLevel="0" collapsed="false">
      <c r="A18" s="39"/>
      <c r="B18" s="12" t="s">
        <v>192</v>
      </c>
      <c r="C18" s="19" t="n">
        <f aca="false">COUNTIF('Exemple diagnostic'!$L$7:$L$39,"Majeure probable")</f>
        <v>2</v>
      </c>
      <c r="D18" s="40" t="s">
        <v>193</v>
      </c>
      <c r="E18" s="40"/>
      <c r="F18" s="40"/>
      <c r="G18" s="40"/>
      <c r="H18" s="40"/>
      <c r="I18" s="40"/>
      <c r="J18" s="40"/>
    </row>
    <row r="19" customFormat="false" ht="30" hidden="false" customHeight="true" outlineLevel="0" collapsed="false">
      <c r="A19" s="39"/>
      <c r="B19" s="12" t="s">
        <v>194</v>
      </c>
      <c r="C19" s="19" t="n">
        <f aca="false">COUNTIFS('Exemple diagnostic'!$J$7:$J$39,"Oui",'Exemple diagnostic'!$G$7:$G$39,"Majeure seulement",'Exemple diagnostic'!$K$7:$K$39,"Partiel")+COUNTIFS('Exemple diagnostic'!$J$7:$J$39,"Oui",'Exemple diagnostic'!$G$7:$G$39,"Majeure seulement",'Exemple diagnostic'!$K$7:$K$39,"Non conforme")</f>
        <v>2</v>
      </c>
      <c r="D19" s="40" t="s">
        <v>195</v>
      </c>
      <c r="E19" s="40"/>
      <c r="F19" s="40"/>
      <c r="G19" s="40"/>
      <c r="H19" s="40"/>
      <c r="I19" s="40"/>
      <c r="J19" s="40"/>
    </row>
    <row r="20" customFormat="false" ht="18.75" hidden="false" customHeight="true" outlineLevel="0" collapsed="false">
      <c r="A20" s="39"/>
      <c r="B20" s="12" t="s">
        <v>196</v>
      </c>
      <c r="C20" s="19" t="n">
        <f aca="false">COUNTIFS('Exemple diagnostic'!$J$7:$J$39,"Oui",'Exemple diagnostic'!$G$7:$G$39,"Mineure ou majeure",'Exemple diagnostic'!$K$7:$K$39,"Non conforme")</f>
        <v>0</v>
      </c>
      <c r="D20" s="40" t="s">
        <v>197</v>
      </c>
      <c r="E20" s="40"/>
      <c r="F20" s="40"/>
      <c r="G20" s="40"/>
      <c r="H20" s="40"/>
      <c r="I20" s="40"/>
      <c r="J20" s="40"/>
    </row>
    <row r="21" customFormat="false" ht="18.75" hidden="false" customHeight="true" outlineLevel="0" collapsed="false">
      <c r="A21" s="39"/>
      <c r="B21" s="12" t="s">
        <v>198</v>
      </c>
      <c r="C21" s="19" t="n">
        <f aca="false">COUNTIF('Exemple diagnostic'!$L$7:$L$39,"Mineure probable")</f>
        <v>7</v>
      </c>
      <c r="D21" s="40" t="s">
        <v>199</v>
      </c>
      <c r="E21" s="40"/>
      <c r="F21" s="40"/>
      <c r="G21" s="40"/>
      <c r="H21" s="40"/>
      <c r="I21" s="40"/>
      <c r="J21" s="40"/>
    </row>
    <row r="22" customFormat="false" ht="15" hidden="false" customHeight="true" outlineLevel="0" collapsed="false">
      <c r="A22" s="39"/>
      <c r="B22" s="12" t="s">
        <v>200</v>
      </c>
      <c r="C22" s="42" t="n">
        <v>1</v>
      </c>
      <c r="D22" s="40" t="s">
        <v>201</v>
      </c>
      <c r="E22" s="40"/>
      <c r="F22" s="40"/>
      <c r="G22" s="40"/>
      <c r="H22" s="40"/>
      <c r="I22" s="40"/>
      <c r="J22" s="40"/>
    </row>
    <row r="23" customFormat="false" ht="15" hidden="false" customHeight="true" outlineLevel="0" collapsed="false">
      <c r="A23" s="39"/>
      <c r="B23" s="12" t="s">
        <v>202</v>
      </c>
      <c r="C23" s="42" t="n">
        <v>3</v>
      </c>
      <c r="D23" s="40" t="s">
        <v>203</v>
      </c>
      <c r="E23" s="40"/>
      <c r="F23" s="40"/>
      <c r="G23" s="40"/>
      <c r="H23" s="40"/>
      <c r="I23" s="40"/>
      <c r="J23" s="40"/>
    </row>
    <row r="24" customFormat="false" ht="24" hidden="false" customHeight="true" outlineLevel="0" collapsed="false">
      <c r="A24" s="39"/>
      <c r="B24" s="12" t="s">
        <v>204</v>
      </c>
      <c r="C24" s="20" t="str">
        <f aca="false">IF(C9=0,"Renseignez l’onglet Profil puis évaluez les indicateurs dans l’onglet Diagnostic.",IF(C18&gt;=C23,"ROUGE : "&amp;C18&amp;" points à risque de non-conformité majeure, plan d’action prioritaire avant l’audit",IF(C18&gt;=C22,"ORANGE : "&amp;C18&amp;" point(s) à risque de non-conformité majeure, à corriger avant l’audit",IF(C21&gt;0,"JAUNE : aucun point à risque majeur, "&amp;C21&amp;" point(s) mineur(s) à corriger","VERT : aucun écart relevé sur les indicateurs évalués"))))</f>
        <v>ORANGE : 2 point(s) à risque de non-conformité majeure, à corriger avant l’audit</v>
      </c>
      <c r="D24" s="20"/>
      <c r="E24" s="20"/>
      <c r="F24" s="20"/>
      <c r="G24" s="20"/>
      <c r="H24" s="20"/>
      <c r="I24" s="20"/>
      <c r="J24" s="20"/>
    </row>
    <row r="25" customFormat="false" ht="21.75" hidden="false" customHeight="true" outlineLevel="0" collapsed="false">
      <c r="A25" s="39"/>
      <c r="B25" s="12" t="s">
        <v>205</v>
      </c>
      <c r="C25" s="43" t="str">
        <f aca="false">IF(C9=0,"",IF(C13&gt;0,"Provisoire : "&amp;C13&amp;" indicateur(s) restent à évaluer, le niveau peut changer.","Auto-diagnostic complet : tous les indicateurs retenus sont évalués."))</f>
        <v>Auto-diagnostic complet : tous les indicateurs retenus sont évalués.</v>
      </c>
      <c r="D25" s="43"/>
      <c r="E25" s="43"/>
      <c r="F25" s="43"/>
      <c r="G25" s="43"/>
      <c r="H25" s="43"/>
      <c r="I25" s="43"/>
      <c r="J25" s="43"/>
    </row>
    <row r="26" customFormat="false" ht="21.75" hidden="false" customHeight="true" outlineLevel="0" collapsed="false">
      <c r="A26" s="39"/>
      <c r="B26" s="12" t="s">
        <v>58</v>
      </c>
      <c r="C26" s="43" t="str">
        <f aca="false">IF('Exemple profil'!$C$22="Oui","Oui : "&amp;COUNTIFS('Exemple diagnostic'!$J$7:$J$39,"Oui",'Exemple diagnostic'!$H$7:$H$39,"Oui")&amp;" de vos indicateurs applicables sont audités en deux temps (formalisation à l’audit initial, mise en œuvre à l’audit de surveillance).",IF('Exemple profil'!$C$22="Non","Non : tous vos indicateurs applicables sont audités sur la mise en œuvre.",""))</f>
        <v>Non : tous vos indicateurs applicables sont audités sur la mise en œuvre.</v>
      </c>
      <c r="D26" s="43"/>
      <c r="E26" s="43"/>
      <c r="F26" s="43"/>
      <c r="G26" s="43"/>
      <c r="H26" s="43"/>
      <c r="I26" s="43"/>
      <c r="J26" s="43"/>
    </row>
    <row r="28" customFormat="false" ht="19.5" hidden="false" customHeight="true" outlineLevel="0" collapsed="false">
      <c r="A28" s="11" t="s">
        <v>206</v>
      </c>
      <c r="B28" s="11"/>
      <c r="C28" s="11"/>
      <c r="D28" s="11"/>
      <c r="E28" s="11"/>
      <c r="F28" s="11"/>
      <c r="G28" s="11"/>
      <c r="H28" s="11"/>
      <c r="I28" s="11"/>
      <c r="J28" s="11"/>
    </row>
    <row r="29" customFormat="false" ht="31.5" hidden="false" customHeight="true" outlineLevel="0" collapsed="false">
      <c r="A29" s="21" t="s">
        <v>80</v>
      </c>
      <c r="B29" s="21" t="s">
        <v>207</v>
      </c>
      <c r="C29" s="21" t="s">
        <v>208</v>
      </c>
      <c r="D29" s="21" t="s">
        <v>184</v>
      </c>
      <c r="E29" s="21" t="s">
        <v>185</v>
      </c>
      <c r="F29" s="21" t="s">
        <v>186</v>
      </c>
      <c r="G29" s="21" t="s">
        <v>209</v>
      </c>
      <c r="H29" s="21" t="s">
        <v>210</v>
      </c>
      <c r="I29" s="21" t="s">
        <v>211</v>
      </c>
      <c r="J29" s="21" t="s">
        <v>212</v>
      </c>
    </row>
    <row r="30" customFormat="false" ht="19.5" hidden="false" customHeight="true" outlineLevel="0" collapsed="false">
      <c r="A30" s="44" t="n">
        <v>1</v>
      </c>
      <c r="B30" s="12" t="s">
        <v>213</v>
      </c>
      <c r="C30" s="45" t="n">
        <f aca="false">COUNTIFS('Exemple diagnostic'!$A$7:$A$39,$A30,'Exemple diagnostic'!$J$7:$J$39,"Oui")-COUNTIFS('Exemple diagnostic'!$A$7:$A$39,$A30,'Exemple diagnostic'!$J$7:$J$39,"Oui",'Exemple diagnostic'!$K$7:$K$39,"Sans objet")</f>
        <v>3</v>
      </c>
      <c r="D30" s="45" t="n">
        <f aca="false">COUNTIFS('Exemple diagnostic'!$A$7:$A$39,$A30,'Exemple diagnostic'!$J$7:$J$39,"Oui",'Exemple diagnostic'!$K$7:$K$39,"Conforme")</f>
        <v>0</v>
      </c>
      <c r="E30" s="45" t="n">
        <f aca="false">COUNTIFS('Exemple diagnostic'!$A$7:$A$39,$A30,'Exemple diagnostic'!$J$7:$J$39,"Oui",'Exemple diagnostic'!$K$7:$K$39,"Partiel")</f>
        <v>3</v>
      </c>
      <c r="F30" s="45" t="n">
        <f aca="false">COUNTIFS('Exemple diagnostic'!$A$7:$A$39,$A30,'Exemple diagnostic'!$J$7:$J$39,"Oui",'Exemple diagnostic'!$K$7:$K$39,"Non conforme")</f>
        <v>0</v>
      </c>
      <c r="G30" s="45" t="n">
        <f aca="false">C30-D30-E30-F30</f>
        <v>0</v>
      </c>
      <c r="H30" s="41" t="n">
        <f aca="false">IF(C30=0,"",D30/C30)</f>
        <v>0</v>
      </c>
      <c r="I30" s="45" t="n">
        <f aca="false">COUNTIFS('Exemple diagnostic'!$A$7:$A$39,$A30,'Exemple diagnostic'!$L$7:$L$39,"Majeure probable")</f>
        <v>0</v>
      </c>
      <c r="J30" s="45" t="n">
        <f aca="false">COUNTIFS('Exemple diagnostic'!$A$7:$A$39,$A30,'Exemple diagnostic'!$L$7:$L$39,"Mineure probable")</f>
        <v>3</v>
      </c>
    </row>
    <row r="31" customFormat="false" ht="19.5" hidden="false" customHeight="true" outlineLevel="0" collapsed="false">
      <c r="A31" s="44" t="n">
        <v>2</v>
      </c>
      <c r="B31" s="12" t="s">
        <v>214</v>
      </c>
      <c r="C31" s="45" t="n">
        <f aca="false">COUNTIFS('Exemple diagnostic'!$A$7:$A$39,$A31,'Exemple diagnostic'!$J$7:$J$39,"Oui")-COUNTIFS('Exemple diagnostic'!$A$7:$A$39,$A31,'Exemple diagnostic'!$J$7:$J$39,"Oui",'Exemple diagnostic'!$K$7:$K$39,"Sans objet")</f>
        <v>5</v>
      </c>
      <c r="D31" s="45" t="n">
        <f aca="false">COUNTIFS('Exemple diagnostic'!$A$7:$A$39,$A31,'Exemple diagnostic'!$J$7:$J$39,"Oui",'Exemple diagnostic'!$K$7:$K$39,"Conforme")</f>
        <v>5</v>
      </c>
      <c r="E31" s="45" t="n">
        <f aca="false">COUNTIFS('Exemple diagnostic'!$A$7:$A$39,$A31,'Exemple diagnostic'!$J$7:$J$39,"Oui",'Exemple diagnostic'!$K$7:$K$39,"Partiel")</f>
        <v>0</v>
      </c>
      <c r="F31" s="45" t="n">
        <f aca="false">COUNTIFS('Exemple diagnostic'!$A$7:$A$39,$A31,'Exemple diagnostic'!$J$7:$J$39,"Oui",'Exemple diagnostic'!$K$7:$K$39,"Non conforme")</f>
        <v>0</v>
      </c>
      <c r="G31" s="45" t="n">
        <f aca="false">C31-D31-E31-F31</f>
        <v>0</v>
      </c>
      <c r="H31" s="41" t="n">
        <f aca="false">IF(C31=0,"",D31/C31)</f>
        <v>1</v>
      </c>
      <c r="I31" s="45" t="n">
        <f aca="false">COUNTIFS('Exemple diagnostic'!$A$7:$A$39,$A31,'Exemple diagnostic'!$L$7:$L$39,"Majeure probable")</f>
        <v>0</v>
      </c>
      <c r="J31" s="45" t="n">
        <f aca="false">COUNTIFS('Exemple diagnostic'!$A$7:$A$39,$A31,'Exemple diagnostic'!$L$7:$L$39,"Mineure probable")</f>
        <v>0</v>
      </c>
    </row>
    <row r="32" customFormat="false" ht="19.5" hidden="false" customHeight="true" outlineLevel="0" collapsed="false">
      <c r="A32" s="44" t="n">
        <v>3</v>
      </c>
      <c r="B32" s="12" t="s">
        <v>215</v>
      </c>
      <c r="C32" s="45" t="n">
        <f aca="false">COUNTIFS('Exemple diagnostic'!$A$7:$A$39,$A32,'Exemple diagnostic'!$J$7:$J$39,"Oui")-COUNTIFS('Exemple diagnostic'!$A$7:$A$39,$A32,'Exemple diagnostic'!$J$7:$J$39,"Oui",'Exemple diagnostic'!$K$7:$K$39,"Sans objet")</f>
        <v>5</v>
      </c>
      <c r="D32" s="45" t="n">
        <f aca="false">COUNTIFS('Exemple diagnostic'!$A$7:$A$39,$A32,'Exemple diagnostic'!$J$7:$J$39,"Oui",'Exemple diagnostic'!$K$7:$K$39,"Conforme")</f>
        <v>4</v>
      </c>
      <c r="E32" s="45" t="n">
        <f aca="false">COUNTIFS('Exemple diagnostic'!$A$7:$A$39,$A32,'Exemple diagnostic'!$J$7:$J$39,"Oui",'Exemple diagnostic'!$K$7:$K$39,"Partiel")</f>
        <v>1</v>
      </c>
      <c r="F32" s="45" t="n">
        <f aca="false">COUNTIFS('Exemple diagnostic'!$A$7:$A$39,$A32,'Exemple diagnostic'!$J$7:$J$39,"Oui",'Exemple diagnostic'!$K$7:$K$39,"Non conforme")</f>
        <v>0</v>
      </c>
      <c r="G32" s="45" t="n">
        <f aca="false">C32-D32-E32-F32</f>
        <v>0</v>
      </c>
      <c r="H32" s="41" t="n">
        <f aca="false">IF(C32=0,"",D32/C32)</f>
        <v>0.8</v>
      </c>
      <c r="I32" s="45" t="n">
        <f aca="false">COUNTIFS('Exemple diagnostic'!$A$7:$A$39,$A32,'Exemple diagnostic'!$L$7:$L$39,"Majeure probable")</f>
        <v>0</v>
      </c>
      <c r="J32" s="45" t="n">
        <f aca="false">COUNTIFS('Exemple diagnostic'!$A$7:$A$39,$A32,'Exemple diagnostic'!$L$7:$L$39,"Mineure probable")</f>
        <v>1</v>
      </c>
    </row>
    <row r="33" customFormat="false" ht="19.5" hidden="false" customHeight="true" outlineLevel="0" collapsed="false">
      <c r="A33" s="44" t="n">
        <v>4</v>
      </c>
      <c r="B33" s="12" t="s">
        <v>216</v>
      </c>
      <c r="C33" s="45" t="n">
        <f aca="false">COUNTIFS('Exemple diagnostic'!$A$7:$A$39,$A33,'Exemple diagnostic'!$J$7:$J$39,"Oui")-COUNTIFS('Exemple diagnostic'!$A$7:$A$39,$A33,'Exemple diagnostic'!$J$7:$J$39,"Oui",'Exemple diagnostic'!$K$7:$K$39,"Sans objet")</f>
        <v>3</v>
      </c>
      <c r="D33" s="45" t="n">
        <f aca="false">COUNTIFS('Exemple diagnostic'!$A$7:$A$39,$A33,'Exemple diagnostic'!$J$7:$J$39,"Oui",'Exemple diagnostic'!$K$7:$K$39,"Conforme")</f>
        <v>2</v>
      </c>
      <c r="E33" s="45" t="n">
        <f aca="false">COUNTIFS('Exemple diagnostic'!$A$7:$A$39,$A33,'Exemple diagnostic'!$J$7:$J$39,"Oui",'Exemple diagnostic'!$K$7:$K$39,"Partiel")</f>
        <v>1</v>
      </c>
      <c r="F33" s="45" t="n">
        <f aca="false">COUNTIFS('Exemple diagnostic'!$A$7:$A$39,$A33,'Exemple diagnostic'!$J$7:$J$39,"Oui",'Exemple diagnostic'!$K$7:$K$39,"Non conforme")</f>
        <v>0</v>
      </c>
      <c r="G33" s="45" t="n">
        <f aca="false">C33-D33-E33-F33</f>
        <v>0</v>
      </c>
      <c r="H33" s="41" t="n">
        <f aca="false">IF(C33=0,"",D33/C33)</f>
        <v>0.666666666666667</v>
      </c>
      <c r="I33" s="45" t="n">
        <f aca="false">COUNTIFS('Exemple diagnostic'!$A$7:$A$39,$A33,'Exemple diagnostic'!$L$7:$L$39,"Majeure probable")</f>
        <v>0</v>
      </c>
      <c r="J33" s="45" t="n">
        <f aca="false">COUNTIFS('Exemple diagnostic'!$A$7:$A$39,$A33,'Exemple diagnostic'!$L$7:$L$39,"Mineure probable")</f>
        <v>1</v>
      </c>
    </row>
    <row r="34" customFormat="false" ht="19.5" hidden="false" customHeight="true" outlineLevel="0" collapsed="false">
      <c r="A34" s="44" t="n">
        <v>5</v>
      </c>
      <c r="B34" s="12" t="s">
        <v>217</v>
      </c>
      <c r="C34" s="45" t="n">
        <f aca="false">COUNTIFS('Exemple diagnostic'!$A$7:$A$39,$A34,'Exemple diagnostic'!$J$7:$J$39,"Oui")-COUNTIFS('Exemple diagnostic'!$A$7:$A$39,$A34,'Exemple diagnostic'!$J$7:$J$39,"Oui",'Exemple diagnostic'!$K$7:$K$39,"Sans objet")</f>
        <v>2</v>
      </c>
      <c r="D34" s="45" t="n">
        <f aca="false">COUNTIFS('Exemple diagnostic'!$A$7:$A$39,$A34,'Exemple diagnostic'!$J$7:$J$39,"Oui",'Exemple diagnostic'!$K$7:$K$39,"Conforme")</f>
        <v>2</v>
      </c>
      <c r="E34" s="45" t="n">
        <f aca="false">COUNTIFS('Exemple diagnostic'!$A$7:$A$39,$A34,'Exemple diagnostic'!$J$7:$J$39,"Oui",'Exemple diagnostic'!$K$7:$K$39,"Partiel")</f>
        <v>0</v>
      </c>
      <c r="F34" s="45" t="n">
        <f aca="false">COUNTIFS('Exemple diagnostic'!$A$7:$A$39,$A34,'Exemple diagnostic'!$J$7:$J$39,"Oui",'Exemple diagnostic'!$K$7:$K$39,"Non conforme")</f>
        <v>0</v>
      </c>
      <c r="G34" s="45" t="n">
        <f aca="false">C34-D34-E34-F34</f>
        <v>0</v>
      </c>
      <c r="H34" s="41" t="n">
        <f aca="false">IF(C34=0,"",D34/C34)</f>
        <v>1</v>
      </c>
      <c r="I34" s="45" t="n">
        <f aca="false">COUNTIFS('Exemple diagnostic'!$A$7:$A$39,$A34,'Exemple diagnostic'!$L$7:$L$39,"Majeure probable")</f>
        <v>0</v>
      </c>
      <c r="J34" s="45" t="n">
        <f aca="false">COUNTIFS('Exemple diagnostic'!$A$7:$A$39,$A34,'Exemple diagnostic'!$L$7:$L$39,"Mineure probable")</f>
        <v>0</v>
      </c>
    </row>
    <row r="35" customFormat="false" ht="19.5" hidden="false" customHeight="true" outlineLevel="0" collapsed="false">
      <c r="A35" s="44" t="n">
        <v>6</v>
      </c>
      <c r="B35" s="12" t="s">
        <v>218</v>
      </c>
      <c r="C35" s="45" t="n">
        <f aca="false">COUNTIFS('Exemple diagnostic'!$A$7:$A$39,$A35,'Exemple diagnostic'!$J$7:$J$39,"Oui")-COUNTIFS('Exemple diagnostic'!$A$7:$A$39,$A35,'Exemple diagnostic'!$J$7:$J$39,"Oui",'Exemple diagnostic'!$K$7:$K$39,"Sans objet")</f>
        <v>5</v>
      </c>
      <c r="D35" s="45" t="n">
        <f aca="false">COUNTIFS('Exemple diagnostic'!$A$7:$A$39,$A35,'Exemple diagnostic'!$J$7:$J$39,"Oui",'Exemple diagnostic'!$K$7:$K$39,"Conforme")</f>
        <v>3</v>
      </c>
      <c r="E35" s="45" t="n">
        <f aca="false">COUNTIFS('Exemple diagnostic'!$A$7:$A$39,$A35,'Exemple diagnostic'!$J$7:$J$39,"Oui",'Exemple diagnostic'!$K$7:$K$39,"Partiel")</f>
        <v>2</v>
      </c>
      <c r="F35" s="45" t="n">
        <f aca="false">COUNTIFS('Exemple diagnostic'!$A$7:$A$39,$A35,'Exemple diagnostic'!$J$7:$J$39,"Oui",'Exemple diagnostic'!$K$7:$K$39,"Non conforme")</f>
        <v>0</v>
      </c>
      <c r="G35" s="45" t="n">
        <f aca="false">C35-D35-E35-F35</f>
        <v>0</v>
      </c>
      <c r="H35" s="41" t="n">
        <f aca="false">IF(C35=0,"",D35/C35)</f>
        <v>0.6</v>
      </c>
      <c r="I35" s="45" t="n">
        <f aca="false">COUNTIFS('Exemple diagnostic'!$A$7:$A$39,$A35,'Exemple diagnostic'!$L$7:$L$39,"Majeure probable")</f>
        <v>1</v>
      </c>
      <c r="J35" s="45" t="n">
        <f aca="false">COUNTIFS('Exemple diagnostic'!$A$7:$A$39,$A35,'Exemple diagnostic'!$L$7:$L$39,"Mineure probable")</f>
        <v>1</v>
      </c>
    </row>
    <row r="36" customFormat="false" ht="19.5" hidden="false" customHeight="true" outlineLevel="0" collapsed="false">
      <c r="A36" s="44" t="n">
        <v>7</v>
      </c>
      <c r="B36" s="12" t="s">
        <v>219</v>
      </c>
      <c r="C36" s="45" t="n">
        <f aca="false">COUNTIFS('Exemple diagnostic'!$A$7:$A$39,$A36,'Exemple diagnostic'!$J$7:$J$39,"Oui")-COUNTIFS('Exemple diagnostic'!$A$7:$A$39,$A36,'Exemple diagnostic'!$J$7:$J$39,"Oui",'Exemple diagnostic'!$K$7:$K$39,"Sans objet")</f>
        <v>3</v>
      </c>
      <c r="D36" s="45" t="n">
        <f aca="false">COUNTIFS('Exemple diagnostic'!$A$7:$A$39,$A36,'Exemple diagnostic'!$J$7:$J$39,"Oui",'Exemple diagnostic'!$K$7:$K$39,"Conforme")</f>
        <v>1</v>
      </c>
      <c r="E36" s="45" t="n">
        <f aca="false">COUNTIFS('Exemple diagnostic'!$A$7:$A$39,$A36,'Exemple diagnostic'!$J$7:$J$39,"Oui",'Exemple diagnostic'!$K$7:$K$39,"Partiel")</f>
        <v>1</v>
      </c>
      <c r="F36" s="45" t="n">
        <f aca="false">COUNTIFS('Exemple diagnostic'!$A$7:$A$39,$A36,'Exemple diagnostic'!$J$7:$J$39,"Oui",'Exemple diagnostic'!$K$7:$K$39,"Non conforme")</f>
        <v>1</v>
      </c>
      <c r="G36" s="45" t="n">
        <f aca="false">C36-D36-E36-F36</f>
        <v>0</v>
      </c>
      <c r="H36" s="41" t="n">
        <f aca="false">IF(C36=0,"",D36/C36)</f>
        <v>0.333333333333333</v>
      </c>
      <c r="I36" s="45" t="n">
        <f aca="false">COUNTIFS('Exemple diagnostic'!$A$7:$A$39,$A36,'Exemple diagnostic'!$L$7:$L$39,"Majeure probable")</f>
        <v>1</v>
      </c>
      <c r="J36" s="45" t="n">
        <f aca="false">COUNTIFS('Exemple diagnostic'!$A$7:$A$39,$A36,'Exemple diagnostic'!$L$7:$L$39,"Mineure probable")</f>
        <v>1</v>
      </c>
    </row>
    <row r="37" customFormat="false" ht="19.5" hidden="false" customHeight="true" outlineLevel="0" collapsed="false">
      <c r="A37" s="46"/>
      <c r="B37" s="46" t="s">
        <v>220</v>
      </c>
      <c r="C37" s="47" t="n">
        <f aca="false">SUM(C30:C36)</f>
        <v>26</v>
      </c>
      <c r="D37" s="47" t="n">
        <f aca="false">SUM(D30:D36)</f>
        <v>17</v>
      </c>
      <c r="E37" s="47" t="n">
        <f aca="false">SUM(E30:E36)</f>
        <v>8</v>
      </c>
      <c r="F37" s="47" t="n">
        <f aca="false">SUM(F30:F36)</f>
        <v>1</v>
      </c>
      <c r="G37" s="47" t="n">
        <f aca="false">SUM(G30:G36)</f>
        <v>0</v>
      </c>
      <c r="H37" s="48" t="n">
        <f aca="false">IF(C37=0,"",D37/C37)</f>
        <v>0.653846153846154</v>
      </c>
      <c r="I37" s="47" t="n">
        <f aca="false">SUM(I30:I36)</f>
        <v>2</v>
      </c>
      <c r="J37" s="47" t="n">
        <f aca="false">SUM(J30:J36)</f>
        <v>7</v>
      </c>
    </row>
    <row r="39" customFormat="false" ht="19.5" hidden="false" customHeight="true" outlineLevel="0" collapsed="false">
      <c r="A39" s="17" t="s">
        <v>221</v>
      </c>
      <c r="B39" s="17"/>
      <c r="C39" s="17"/>
      <c r="D39" s="17"/>
      <c r="E39" s="17"/>
      <c r="F39" s="17"/>
      <c r="G39" s="17"/>
      <c r="H39" s="17"/>
      <c r="I39" s="17"/>
      <c r="J39" s="17"/>
    </row>
    <row r="57" customFormat="false" ht="19.5" hidden="false" customHeight="true" outlineLevel="0" collapsed="false">
      <c r="A57" s="11" t="s">
        <v>222</v>
      </c>
      <c r="B57" s="11"/>
      <c r="C57" s="11"/>
      <c r="D57" s="11"/>
      <c r="E57" s="11"/>
      <c r="F57" s="11"/>
      <c r="G57" s="11"/>
      <c r="H57" s="11"/>
      <c r="I57" s="11"/>
      <c r="J57" s="11"/>
    </row>
    <row r="58" customFormat="false" ht="24" hidden="false" customHeight="true" outlineLevel="0" collapsed="false">
      <c r="A58" s="21" t="s">
        <v>223</v>
      </c>
      <c r="B58" s="21" t="s">
        <v>224</v>
      </c>
      <c r="C58" s="21" t="s">
        <v>89</v>
      </c>
      <c r="D58" s="21" t="s">
        <v>93</v>
      </c>
      <c r="E58" s="21"/>
      <c r="F58" s="21"/>
      <c r="G58" s="21"/>
      <c r="H58" s="21" t="s">
        <v>94</v>
      </c>
      <c r="I58" s="21"/>
      <c r="J58" s="21" t="s">
        <v>95</v>
      </c>
    </row>
    <row r="59" customFormat="false" ht="36" hidden="false" customHeight="true" outlineLevel="0" collapsed="false">
      <c r="A59" s="49" t="n">
        <v>1</v>
      </c>
      <c r="B59" s="50" t="str">
        <f aca="false">IFERROR("Ind. "&amp;INDEX('Exemple diagnostic'!$B$7:$B$39,MATCH($A59,'Exemple diagnostic'!$R$7:$R$39,0))&amp;" : "&amp;INDEX('Exemple diagnostic'!$C$7:$C$39,MATCH($A59,'Exemple diagnostic'!$R$7:$R$39,0)),"")</f>
        <v>Ind. 27 : Sous-traitance et portage salarial : conformité au référentiel, tracée dans les contrats</v>
      </c>
      <c r="C59" s="45" t="str">
        <f aca="false">IFERROR(INDEX('Exemple diagnostic'!$K$7:$K$39,MATCH($A59,'Exemple diagnostic'!$R$7:$R$39,0))&amp;"","")</f>
        <v>Partiel</v>
      </c>
      <c r="D59" s="50" t="str">
        <f aca="false">IFERROR(INDEX('Exemple diagnostic'!$O$7:$O$39,MATCH($A59,'Exemple diagnostic'!$R$7:$R$39,0))&amp;"","")</f>
        <v>Ajouter un avenant « conformité au référentiel et traçabilité » aux 3 contrats</v>
      </c>
      <c r="E59" s="50"/>
      <c r="F59" s="50"/>
      <c r="G59" s="50"/>
      <c r="H59" s="50" t="str">
        <f aca="false">IFERROR(INDEX('Exemple diagnostic'!$P$7:$P$39,MATCH($A59,'Exemple diagnostic'!$R$7:$R$39,0))&amp;"","")</f>
        <v>Directrice</v>
      </c>
      <c r="I59" s="50"/>
      <c r="J59" s="51" t="n">
        <f aca="false">IFERROR(IF(INDEX('Exemple diagnostic'!$Q$7:$Q$39,MATCH($A59,'Exemple diagnostic'!$R$7:$R$39,0))="","",INDEX('Exemple diagnostic'!$Q$7:$Q$39,MATCH($A59,'Exemple diagnostic'!$R$7:$R$39,0))),"")</f>
        <v>46339</v>
      </c>
    </row>
    <row r="60" customFormat="false" ht="36" hidden="false" customHeight="true" outlineLevel="0" collapsed="false">
      <c r="A60" s="49" t="n">
        <v>2</v>
      </c>
      <c r="B60" s="50" t="str">
        <f aca="false">IFERROR("Ind. "&amp;INDEX('Exemple diagnostic'!$B$7:$B$39,MATCH($A60,'Exemple diagnostic'!$R$7:$R$39,0))&amp;" : "&amp;INDEX('Exemple diagnostic'!$C$7:$C$39,MATCH($A60,'Exemple diagnostic'!$R$7:$R$39,0)),"")</f>
        <v>Ind. 32 : Amélioration continue à partir des appréciations et réclamations, et analyse des risques sur la qualité</v>
      </c>
      <c r="C60" s="45" t="str">
        <f aca="false">IFERROR(INDEX('Exemple diagnostic'!$K$7:$K$39,MATCH($A60,'Exemple diagnostic'!$R$7:$R$39,0))&amp;"","")</f>
        <v>Non conforme</v>
      </c>
      <c r="D60" s="50" t="str">
        <f aca="false">IFERROR(INDEX('Exemple diagnostic'!$O$7:$O$39,MATCH($A60,'Exemple diagnostic'!$R$7:$R$39,0))&amp;"","")</f>
        <v>Réaliser l’analyse des risques et la présenter à la prochaine revue</v>
      </c>
      <c r="E60" s="50"/>
      <c r="F60" s="50"/>
      <c r="G60" s="50"/>
      <c r="H60" s="50" t="str">
        <f aca="false">IFERROR(INDEX('Exemple diagnostic'!$P$7:$P$39,MATCH($A60,'Exemple diagnostic'!$R$7:$R$39,0))&amp;"","")</f>
        <v>Responsable qualité</v>
      </c>
      <c r="I60" s="50"/>
      <c r="J60" s="51" t="n">
        <f aca="false">IFERROR(IF(INDEX('Exemple diagnostic'!$Q$7:$Q$39,MATCH($A60,'Exemple diagnostic'!$R$7:$R$39,0))="","",INDEX('Exemple diagnostic'!$Q$7:$Q$39,MATCH($A60,'Exemple diagnostic'!$R$7:$R$39,0))),"")</f>
        <v>46360</v>
      </c>
    </row>
    <row r="61" customFormat="false" ht="36" hidden="false" customHeight="true" outlineLevel="0" collapsed="false">
      <c r="A61" s="49" t="n">
        <v>3</v>
      </c>
      <c r="B61" s="50" t="str">
        <f aca="false">IFERROR("Ind. "&amp;INDEX('Exemple diagnostic'!$B$7:$B$39,MATCH($A61,'Exemple diagnostic'!$R$7:$R$39,0))&amp;" : "&amp;INDEX('Exemple diagnostic'!$C$7:$C$39,MATCH($A61,'Exemple diagnostic'!$R$7:$R$39,0)),"")</f>
        <v/>
      </c>
      <c r="C61" s="45" t="str">
        <f aca="false">IFERROR(INDEX('Exemple diagnostic'!$K$7:$K$39,MATCH($A61,'Exemple diagnostic'!$R$7:$R$39,0))&amp;"","")</f>
        <v/>
      </c>
      <c r="D61" s="50" t="str">
        <f aca="false">IFERROR(INDEX('Exemple diagnostic'!$O$7:$O$39,MATCH($A61,'Exemple diagnostic'!$R$7:$R$39,0))&amp;"","")</f>
        <v/>
      </c>
      <c r="E61" s="50"/>
      <c r="F61" s="50"/>
      <c r="G61" s="50"/>
      <c r="H61" s="50" t="str">
        <f aca="false">IFERROR(INDEX('Exemple diagnostic'!$P$7:$P$39,MATCH($A61,'Exemple diagnostic'!$R$7:$R$39,0))&amp;"","")</f>
        <v/>
      </c>
      <c r="I61" s="50"/>
      <c r="J61" s="51" t="str">
        <f aca="false">IFERROR(IF(INDEX('Exemple diagnostic'!$Q$7:$Q$39,MATCH($A61,'Exemple diagnostic'!$R$7:$R$39,0))="","",INDEX('Exemple diagnostic'!$Q$7:$Q$39,MATCH($A61,'Exemple diagnostic'!$R$7:$R$39,0))),"")</f>
        <v/>
      </c>
    </row>
    <row r="62" customFormat="false" ht="36" hidden="false" customHeight="true" outlineLevel="0" collapsed="false">
      <c r="A62" s="49" t="n">
        <v>4</v>
      </c>
      <c r="B62" s="50" t="str">
        <f aca="false">IFERROR("Ind. "&amp;INDEX('Exemple diagnostic'!$B$7:$B$39,MATCH($A62,'Exemple diagnostic'!$R$7:$R$39,0))&amp;" : "&amp;INDEX('Exemple diagnostic'!$C$7:$C$39,MATCH($A62,'Exemple diagnostic'!$R$7:$R$39,0)),"")</f>
        <v/>
      </c>
      <c r="C62" s="45" t="str">
        <f aca="false">IFERROR(INDEX('Exemple diagnostic'!$K$7:$K$39,MATCH($A62,'Exemple diagnostic'!$R$7:$R$39,0))&amp;"","")</f>
        <v/>
      </c>
      <c r="D62" s="50" t="str">
        <f aca="false">IFERROR(INDEX('Exemple diagnostic'!$O$7:$O$39,MATCH($A62,'Exemple diagnostic'!$R$7:$R$39,0))&amp;"","")</f>
        <v/>
      </c>
      <c r="E62" s="50"/>
      <c r="F62" s="50"/>
      <c r="G62" s="50"/>
      <c r="H62" s="50" t="str">
        <f aca="false">IFERROR(INDEX('Exemple diagnostic'!$P$7:$P$39,MATCH($A62,'Exemple diagnostic'!$R$7:$R$39,0))&amp;"","")</f>
        <v/>
      </c>
      <c r="I62" s="50"/>
      <c r="J62" s="51" t="str">
        <f aca="false">IFERROR(IF(INDEX('Exemple diagnostic'!$Q$7:$Q$39,MATCH($A62,'Exemple diagnostic'!$R$7:$R$39,0))="","",INDEX('Exemple diagnostic'!$Q$7:$Q$39,MATCH($A62,'Exemple diagnostic'!$R$7:$R$39,0))),"")</f>
        <v/>
      </c>
    </row>
    <row r="63" customFormat="false" ht="36" hidden="false" customHeight="true" outlineLevel="0" collapsed="false">
      <c r="A63" s="49" t="n">
        <v>5</v>
      </c>
      <c r="B63" s="50" t="str">
        <f aca="false">IFERROR("Ind. "&amp;INDEX('Exemple diagnostic'!$B$7:$B$39,MATCH($A63,'Exemple diagnostic'!$R$7:$R$39,0))&amp;" : "&amp;INDEX('Exemple diagnostic'!$C$7:$C$39,MATCH($A63,'Exemple diagnostic'!$R$7:$R$39,0)),"")</f>
        <v/>
      </c>
      <c r="C63" s="45" t="str">
        <f aca="false">IFERROR(INDEX('Exemple diagnostic'!$K$7:$K$39,MATCH($A63,'Exemple diagnostic'!$R$7:$R$39,0))&amp;"","")</f>
        <v/>
      </c>
      <c r="D63" s="50" t="str">
        <f aca="false">IFERROR(INDEX('Exemple diagnostic'!$O$7:$O$39,MATCH($A63,'Exemple diagnostic'!$R$7:$R$39,0))&amp;"","")</f>
        <v/>
      </c>
      <c r="E63" s="50"/>
      <c r="F63" s="50"/>
      <c r="G63" s="50"/>
      <c r="H63" s="50" t="str">
        <f aca="false">IFERROR(INDEX('Exemple diagnostic'!$P$7:$P$39,MATCH($A63,'Exemple diagnostic'!$R$7:$R$39,0))&amp;"","")</f>
        <v/>
      </c>
      <c r="I63" s="50"/>
      <c r="J63" s="51" t="str">
        <f aca="false">IFERROR(IF(INDEX('Exemple diagnostic'!$Q$7:$Q$39,MATCH($A63,'Exemple diagnostic'!$R$7:$R$39,0))="","",INDEX('Exemple diagnostic'!$Q$7:$Q$39,MATCH($A63,'Exemple diagnostic'!$R$7:$R$39,0))),"")</f>
        <v/>
      </c>
    </row>
    <row r="64" customFormat="false" ht="36" hidden="false" customHeight="true" outlineLevel="0" collapsed="false">
      <c r="A64" s="49" t="n">
        <v>6</v>
      </c>
      <c r="B64" s="50" t="str">
        <f aca="false">IFERROR("Ind. "&amp;INDEX('Exemple diagnostic'!$B$7:$B$39,MATCH($A64,'Exemple diagnostic'!$R$7:$R$39,0))&amp;" : "&amp;INDEX('Exemple diagnostic'!$C$7:$C$39,MATCH($A64,'Exemple diagnostic'!$R$7:$R$39,0)),"")</f>
        <v/>
      </c>
      <c r="C64" s="45" t="str">
        <f aca="false">IFERROR(INDEX('Exemple diagnostic'!$K$7:$K$39,MATCH($A64,'Exemple diagnostic'!$R$7:$R$39,0))&amp;"","")</f>
        <v/>
      </c>
      <c r="D64" s="50" t="str">
        <f aca="false">IFERROR(INDEX('Exemple diagnostic'!$O$7:$O$39,MATCH($A64,'Exemple diagnostic'!$R$7:$R$39,0))&amp;"","")</f>
        <v/>
      </c>
      <c r="E64" s="50"/>
      <c r="F64" s="50"/>
      <c r="G64" s="50"/>
      <c r="H64" s="50" t="str">
        <f aca="false">IFERROR(INDEX('Exemple diagnostic'!$P$7:$P$39,MATCH($A64,'Exemple diagnostic'!$R$7:$R$39,0))&amp;"","")</f>
        <v/>
      </c>
      <c r="I64" s="50"/>
      <c r="J64" s="51" t="str">
        <f aca="false">IFERROR(IF(INDEX('Exemple diagnostic'!$Q$7:$Q$39,MATCH($A64,'Exemple diagnostic'!$R$7:$R$39,0))="","",INDEX('Exemple diagnostic'!$Q$7:$Q$39,MATCH($A64,'Exemple diagnostic'!$R$7:$R$39,0))),"")</f>
        <v/>
      </c>
    </row>
    <row r="65" customFormat="false" ht="36" hidden="false" customHeight="true" outlineLevel="0" collapsed="false">
      <c r="A65" s="49" t="n">
        <v>7</v>
      </c>
      <c r="B65" s="50" t="str">
        <f aca="false">IFERROR("Ind. "&amp;INDEX('Exemple diagnostic'!$B$7:$B$39,MATCH($A65,'Exemple diagnostic'!$R$7:$R$39,0))&amp;" : "&amp;INDEX('Exemple diagnostic'!$C$7:$C$39,MATCH($A65,'Exemple diagnostic'!$R$7:$R$39,0)),"")</f>
        <v/>
      </c>
      <c r="C65" s="45" t="str">
        <f aca="false">IFERROR(INDEX('Exemple diagnostic'!$K$7:$K$39,MATCH($A65,'Exemple diagnostic'!$R$7:$R$39,0))&amp;"","")</f>
        <v/>
      </c>
      <c r="D65" s="50" t="str">
        <f aca="false">IFERROR(INDEX('Exemple diagnostic'!$O$7:$O$39,MATCH($A65,'Exemple diagnostic'!$R$7:$R$39,0))&amp;"","")</f>
        <v/>
      </c>
      <c r="E65" s="50"/>
      <c r="F65" s="50"/>
      <c r="G65" s="50"/>
      <c r="H65" s="50" t="str">
        <f aca="false">IFERROR(INDEX('Exemple diagnostic'!$P$7:$P$39,MATCH($A65,'Exemple diagnostic'!$R$7:$R$39,0))&amp;"","")</f>
        <v/>
      </c>
      <c r="I65" s="50"/>
      <c r="J65" s="51" t="str">
        <f aca="false">IFERROR(IF(INDEX('Exemple diagnostic'!$Q$7:$Q$39,MATCH($A65,'Exemple diagnostic'!$R$7:$R$39,0))="","",INDEX('Exemple diagnostic'!$Q$7:$Q$39,MATCH($A65,'Exemple diagnostic'!$R$7:$R$39,0))),"")</f>
        <v/>
      </c>
    </row>
    <row r="66" customFormat="false" ht="36" hidden="false" customHeight="true" outlineLevel="0" collapsed="false">
      <c r="A66" s="49" t="n">
        <v>8</v>
      </c>
      <c r="B66" s="50" t="str">
        <f aca="false">IFERROR("Ind. "&amp;INDEX('Exemple diagnostic'!$B$7:$B$39,MATCH($A66,'Exemple diagnostic'!$R$7:$R$39,0))&amp;" : "&amp;INDEX('Exemple diagnostic'!$C$7:$C$39,MATCH($A66,'Exemple diagnostic'!$R$7:$R$39,0)),"")</f>
        <v/>
      </c>
      <c r="C66" s="45" t="str">
        <f aca="false">IFERROR(INDEX('Exemple diagnostic'!$K$7:$K$39,MATCH($A66,'Exemple diagnostic'!$R$7:$R$39,0))&amp;"","")</f>
        <v/>
      </c>
      <c r="D66" s="50" t="str">
        <f aca="false">IFERROR(INDEX('Exemple diagnostic'!$O$7:$O$39,MATCH($A66,'Exemple diagnostic'!$R$7:$R$39,0))&amp;"","")</f>
        <v/>
      </c>
      <c r="E66" s="50"/>
      <c r="F66" s="50"/>
      <c r="G66" s="50"/>
      <c r="H66" s="50" t="str">
        <f aca="false">IFERROR(INDEX('Exemple diagnostic'!$P$7:$P$39,MATCH($A66,'Exemple diagnostic'!$R$7:$R$39,0))&amp;"","")</f>
        <v/>
      </c>
      <c r="I66" s="50"/>
      <c r="J66" s="51" t="str">
        <f aca="false">IFERROR(IF(INDEX('Exemple diagnostic'!$Q$7:$Q$39,MATCH($A66,'Exemple diagnostic'!$R$7:$R$39,0))="","",INDEX('Exemple diagnostic'!$Q$7:$Q$39,MATCH($A66,'Exemple diagnostic'!$R$7:$R$39,0))),"")</f>
        <v/>
      </c>
    </row>
    <row r="67" customFormat="false" ht="15" hidden="false" customHeight="false" outlineLevel="0" collapsed="false">
      <c r="A67" s="52" t="str">
        <f aca="false">IF(C18&gt;8,"… et "&amp;(C18-8)&amp;" autre(s) point(s) : filtrez la colonne « Écart probable » de l’onglet Diagnostic.","")</f>
        <v/>
      </c>
    </row>
    <row r="69" customFormat="false" ht="19.5" hidden="false" customHeight="true" outlineLevel="0" collapsed="false">
      <c r="A69" s="17" t="s">
        <v>225</v>
      </c>
      <c r="B69" s="17"/>
      <c r="C69" s="17"/>
      <c r="D69" s="17"/>
      <c r="E69" s="17"/>
      <c r="F69" s="17"/>
      <c r="G69" s="17"/>
      <c r="H69" s="17"/>
      <c r="I69" s="17"/>
      <c r="J69" s="17"/>
    </row>
    <row r="70" customFormat="false" ht="25.5" hidden="false" customHeight="true" outlineLevel="0" collapsed="false">
      <c r="A70" s="50" t="str">
        <f aca="false">IF('Exemple profil'!$C$23="Oui","Indicateur 12 : vos formations dépassent 2 jours, la prévention et le traitement des violences, du harcèlement et des discriminations s’appliquent : procédure, référent, information des apprenants et du personnel, traçabilité des signalements.","")</f>
        <v>Indicateur 12 : vos formations dépassent 2 jours, la prévention et le traitement des violences, du harcèlement et des discriminations s’appliquent : procédure, référent, information des apprenants et du personnel, traçabilité des signalements.</v>
      </c>
      <c r="B70" s="50"/>
      <c r="C70" s="50"/>
      <c r="D70" s="50"/>
      <c r="E70" s="50"/>
      <c r="F70" s="50"/>
      <c r="G70" s="50"/>
      <c r="H70" s="50"/>
      <c r="I70" s="50"/>
      <c r="J70" s="50"/>
    </row>
    <row r="71" customFormat="false" ht="25.5" hidden="false" customHeight="true" outlineLevel="0" collapsed="false">
      <c r="A71" s="50" t="str">
        <f aca="false">IF('Exemple profil'!$C$24="Oui","Indicateur 19 : prévoyez la preuve du suivi effectif des modules à distance (relances en cas d’inactivité, alertes de décrochage, statistiques de connexion ou d’avancement). Le seuil du référent pédagogique sera fixé par arrêté, non publié à ce jour.","")</f>
        <v>Indicateur 19 : prévoyez la preuve du suivi effectif des modules à distance (relances en cas d’inactivité, alertes de décrochage, statistiques de connexion ou d’avancement). Le seuil du référent pédagogique sera fixé par arrêté, non publié à ce jour.</v>
      </c>
      <c r="B71" s="50"/>
      <c r="C71" s="50"/>
      <c r="D71" s="50"/>
      <c r="E71" s="50"/>
      <c r="F71" s="50"/>
      <c r="G71" s="50"/>
      <c r="H71" s="50"/>
      <c r="I71" s="50"/>
      <c r="J71" s="50"/>
    </row>
    <row r="72" customFormat="false" ht="25.5" hidden="false" customHeight="true" outlineLevel="0" collapsed="false">
      <c r="A72" s="50" t="str">
        <f aca="false">IF('Exemple profil'!$C$20="Oui","Indicateur 27 : vérifiez que chaque contrat de sous-traitance ou de portage salarial indique les missions confiées, la conformité au référentiel et sa traçabilité.","")</f>
        <v>Indicateur 27 : vérifiez que chaque contrat de sous-traitance ou de portage salarial indique les missions confiées, la conformité au référentiel et sa traçabilité.</v>
      </c>
      <c r="B72" s="50"/>
      <c r="C72" s="50"/>
      <c r="D72" s="50"/>
      <c r="E72" s="50"/>
      <c r="F72" s="50"/>
      <c r="G72" s="50"/>
      <c r="H72" s="50"/>
      <c r="I72" s="50"/>
      <c r="J72" s="50"/>
    </row>
    <row r="73" customFormat="false" ht="25.5" hidden="false" customHeight="true" outlineLevel="0" collapsed="false">
      <c r="A73" s="50" t="str">
        <f aca="false">IF('Exemple profil'!$C$17="Oui","Indicateurs 3 et 7 : taux d’obtention mis en relation avec le taux de présentation, poursuites d’études, débouchés ; habilitation ou convention avec le certificateur.","")</f>
        <v>Indicateurs 3 et 7 : taux d’obtention mis en relation avec le taux de présentation, poursuites d’études, débouchés ; habilitation ou convention avec le certificateur.</v>
      </c>
      <c r="B73" s="50"/>
      <c r="C73" s="50"/>
      <c r="D73" s="50"/>
      <c r="E73" s="50"/>
      <c r="F73" s="50"/>
      <c r="G73" s="50"/>
      <c r="H73" s="50"/>
      <c r="I73" s="50"/>
      <c r="J73" s="50"/>
    </row>
    <row r="74" customFormat="false" ht="25.5" hidden="false" customHeight="true" outlineLevel="0" collapsed="false">
      <c r="A74" s="50" t="str">
        <f aca="false">IF('Exemple profil'!$C$25="Oui","Indicateur 30 : sollicitez les financeurs au moins une fois par an ou selon leurs modalités, ou tracez votre participation à leurs webinaires ou réunions.","")</f>
        <v>Indicateur 30 : sollicitez les financeurs au moins une fois par an ou selon leurs modalités, ou tracez votre participation à leurs webinaires ou réunions.</v>
      </c>
      <c r="B74" s="50"/>
      <c r="C74" s="50"/>
      <c r="D74" s="50"/>
      <c r="E74" s="50"/>
      <c r="F74" s="50"/>
      <c r="G74" s="50"/>
      <c r="H74" s="50"/>
      <c r="I74" s="50"/>
      <c r="J74" s="50"/>
    </row>
    <row r="75" customFormat="false" ht="25.5" hidden="false" customHeight="true" outlineLevel="0" collapsed="false">
      <c r="A75" s="50" t="str">
        <f aca="false">IF('Exemple profil'!$C$14="Oui","Apprentissage : les indicateurs 14, 15, 20 et 33 sont modifiés ou nouveaux. Le seuil de l’indicateur 20 sera fixé par arrêté, non publié à ce jour.","")</f>
        <v/>
      </c>
      <c r="B75" s="50"/>
      <c r="C75" s="50"/>
      <c r="D75" s="50"/>
      <c r="E75" s="50"/>
      <c r="F75" s="50"/>
      <c r="G75" s="50"/>
      <c r="H75" s="50"/>
      <c r="I75" s="50"/>
      <c r="J75" s="50"/>
    </row>
    <row r="76" customFormat="false" ht="25.5" hidden="false" customHeight="true" outlineLevel="0" collapsed="false">
      <c r="A76" s="50" t="str">
        <f aca="false">"Indicateur 32 : l’analyse des risques sur la qualité des formations délivrées est une nouveauté de la V10 pour tous les profils."</f>
        <v>Indicateur 32 : l’analyse des risques sur la qualité des formations délivrées est une nouveauté de la V10 pour tous les profils.</v>
      </c>
      <c r="B76" s="50"/>
      <c r="C76" s="50"/>
      <c r="D76" s="50"/>
      <c r="E76" s="50"/>
      <c r="F76" s="50"/>
      <c r="G76" s="50"/>
      <c r="H76" s="50"/>
      <c r="I76" s="50"/>
      <c r="J76" s="50"/>
    </row>
    <row r="77" customFormat="false" ht="25.5" hidden="false" customHeight="true" outlineLevel="0" collapsed="false">
      <c r="A77" s="50" t="str">
        <f aca="false">"Rappel : le guide de lecture V10 n’est pas final. Revérifiez libellés et applicabilité à sa parution."</f>
        <v>Rappel : le guide de lecture V10 n’est pas final. Revérifiez libellés et applicabilité à sa parution.</v>
      </c>
      <c r="B77" s="50"/>
      <c r="C77" s="50"/>
      <c r="D77" s="50"/>
      <c r="E77" s="50"/>
      <c r="F77" s="50"/>
      <c r="G77" s="50"/>
      <c r="H77" s="50"/>
      <c r="I77" s="50"/>
      <c r="J77" s="50"/>
    </row>
  </sheetData>
  <mergeCells count="47">
    <mergeCell ref="A3:G3"/>
    <mergeCell ref="H3:I3"/>
    <mergeCell ref="A5:J5"/>
    <mergeCell ref="D6:J6"/>
    <mergeCell ref="D7:J7"/>
    <mergeCell ref="D8:J8"/>
    <mergeCell ref="D14:J14"/>
    <mergeCell ref="A17:J17"/>
    <mergeCell ref="D18:J18"/>
    <mergeCell ref="D19:J19"/>
    <mergeCell ref="D20:J20"/>
    <mergeCell ref="D21:J21"/>
    <mergeCell ref="D22:J22"/>
    <mergeCell ref="D23:J23"/>
    <mergeCell ref="C24:J24"/>
    <mergeCell ref="C25:J25"/>
    <mergeCell ref="C26:J26"/>
    <mergeCell ref="A28:J28"/>
    <mergeCell ref="A39:J39"/>
    <mergeCell ref="A57:J57"/>
    <mergeCell ref="D58:G58"/>
    <mergeCell ref="H58:I58"/>
    <mergeCell ref="D59:G59"/>
    <mergeCell ref="H59:I59"/>
    <mergeCell ref="D60:G60"/>
    <mergeCell ref="H60:I60"/>
    <mergeCell ref="D61:G61"/>
    <mergeCell ref="H61:I61"/>
    <mergeCell ref="D62:G62"/>
    <mergeCell ref="H62:I62"/>
    <mergeCell ref="D63:G63"/>
    <mergeCell ref="H63:I63"/>
    <mergeCell ref="D64:G64"/>
    <mergeCell ref="H64:I64"/>
    <mergeCell ref="D65:G65"/>
    <mergeCell ref="H65:I65"/>
    <mergeCell ref="D66:G66"/>
    <mergeCell ref="H66:I66"/>
    <mergeCell ref="A69:J69"/>
    <mergeCell ref="A70:J70"/>
    <mergeCell ref="A71:J71"/>
    <mergeCell ref="A72:J72"/>
    <mergeCell ref="A73:J73"/>
    <mergeCell ref="A74:J74"/>
    <mergeCell ref="A75:J75"/>
    <mergeCell ref="A76:J76"/>
    <mergeCell ref="A77:J77"/>
  </mergeCells>
  <conditionalFormatting sqref="C13">
    <cfRule type="expression" priority="2" aboveAverage="0" equalAverage="0" bottom="0" percent="0" rank="0" text="" dxfId="6">
      <formula>$C$13&gt;0</formula>
    </cfRule>
  </conditionalFormatting>
  <conditionalFormatting sqref="C24:J24">
    <cfRule type="expression" priority="3" aboveAverage="0" equalAverage="0" bottom="0" percent="0" rank="0" text="" dxfId="0">
      <formula>LEFT($C$24,5)="ROUGE"</formula>
    </cfRule>
    <cfRule type="expression" priority="4" aboveAverage="0" equalAverage="0" bottom="0" percent="0" rank="0" text="" dxfId="7">
      <formula>LEFT($C$24,6)="ORANGE"</formula>
    </cfRule>
    <cfRule type="expression" priority="5" aboveAverage="0" equalAverage="0" bottom="0" percent="0" rank="0" text="" dxfId="6">
      <formula>LEFT($C$24,5)="JAUNE"</formula>
    </cfRule>
    <cfRule type="expression" priority="6" aboveAverage="0" equalAverage="0" bottom="0" percent="0" rank="0" text="" dxfId="8">
      <formula>LEFT($C$24,4)="VERT"</formula>
    </cfRule>
  </conditionalFormatting>
  <conditionalFormatting sqref="H30:H36">
    <cfRule type="expression" priority="7" aboveAverage="0" equalAverage="0" bottom="0" percent="0" rank="0" text="" dxfId="0">
      <formula>AND(ISNUMBER($H30),$H30&lt;0.5)</formula>
    </cfRule>
    <cfRule type="expression" priority="8" aboveAverage="0" equalAverage="0" bottom="0" percent="0" rank="0" text="" dxfId="8">
      <formula>AND(ISNUMBER($H30),$H30&gt;=0.8)</formula>
    </cfRule>
  </conditionalFormatting>
  <conditionalFormatting sqref="I30:I36">
    <cfRule type="expression" priority="9" aboveAverage="0" equalAverage="0" bottom="0" percent="0" rank="0" text="" dxfId="0">
      <formula>$I30&gt;0</formula>
    </cfRule>
  </conditionalFormatting>
  <conditionalFormatting sqref="J30:J36">
    <cfRule type="expression" priority="10" aboveAverage="0" equalAverage="0" bottom="0" percent="0" rank="0" text="" dxfId="2">
      <formula>$J30&gt;0</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F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5" min="1" style="0" width="34"/>
  </cols>
  <sheetData>
    <row r="1" customFormat="false" ht="21.75" hidden="false" customHeight="true" outlineLevel="0" collapsed="false">
      <c r="A1" s="1" t="s">
        <v>285</v>
      </c>
      <c r="B1" s="2"/>
      <c r="C1" s="2"/>
      <c r="D1" s="2"/>
      <c r="E1" s="2"/>
      <c r="F1" s="2"/>
    </row>
    <row r="2" customFormat="false" ht="15" hidden="false" customHeight="false" outlineLevel="0" collapsed="false">
      <c r="A2" s="52" t="s">
        <v>286</v>
      </c>
    </row>
    <row r="3" customFormat="false" ht="15" hidden="false" customHeight="false" outlineLevel="0" collapsed="false">
      <c r="A3" s="21" t="s">
        <v>47</v>
      </c>
      <c r="B3" s="21" t="s">
        <v>89</v>
      </c>
      <c r="C3" s="21" t="s">
        <v>83</v>
      </c>
      <c r="D3" s="21" t="s">
        <v>86</v>
      </c>
      <c r="E3" s="21" t="s">
        <v>287</v>
      </c>
    </row>
    <row r="4" customFormat="false" ht="15" hidden="false" customHeight="false" outlineLevel="0" collapsed="false">
      <c r="A4" s="13" t="s">
        <v>231</v>
      </c>
      <c r="B4" s="13" t="s">
        <v>247</v>
      </c>
      <c r="C4" s="13" t="s">
        <v>109</v>
      </c>
      <c r="D4" s="13" t="s">
        <v>100</v>
      </c>
      <c r="E4" s="13" t="s">
        <v>103</v>
      </c>
    </row>
    <row r="5" customFormat="false" ht="15" hidden="false" customHeight="false" outlineLevel="0" collapsed="false">
      <c r="A5" s="13" t="s">
        <v>288</v>
      </c>
      <c r="B5" s="13" t="s">
        <v>234</v>
      </c>
      <c r="C5" s="13" t="s">
        <v>98</v>
      </c>
      <c r="D5" s="13" t="s">
        <v>110</v>
      </c>
      <c r="E5" s="13" t="s">
        <v>230</v>
      </c>
    </row>
    <row r="6" customFormat="false" ht="15" hidden="false" customHeight="false" outlineLevel="0" collapsed="false">
      <c r="A6" s="13" t="s">
        <v>289</v>
      </c>
      <c r="B6" s="13" t="s">
        <v>280</v>
      </c>
      <c r="C6" s="13" t="s">
        <v>172</v>
      </c>
    </row>
    <row r="7" customFormat="false" ht="15" hidden="false" customHeight="false" outlineLevel="0" collapsed="false">
      <c r="A7" s="13" t="s">
        <v>132</v>
      </c>
      <c r="B7" s="13" t="s">
        <v>290</v>
      </c>
      <c r="C7" s="13" t="s">
        <v>167</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2026-10-22T10:48:05Z</dcterms:created>
  <dc:creator>openpyxl</dc:creator>
  <dc:description/>
  <dc:language>en-US</dc:language>
  <cp:lastModifiedBy/>
  <dcterms:modified xsi:type="dcterms:W3CDTF">2026-10-22T12:48:08Z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